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MFC\MFC - División Franquiciantes\"/>
    </mc:Choice>
  </mc:AlternateContent>
  <xr:revisionPtr revIDLastSave="0" documentId="13_ncr:1_{ABB896A8-54D6-4E43-8FA4-965ED1044A8A}" xr6:coauthVersionLast="47" xr6:coauthVersionMax="47" xr10:uidLastSave="{00000000-0000-0000-0000-000000000000}"/>
  <bookViews>
    <workbookView xWindow="-120" yWindow="-120" windowWidth="20730" windowHeight="11760" tabRatio="856" xr2:uid="{00000000-000D-0000-FFFF-FFFF00000000}"/>
  </bookViews>
  <sheets>
    <sheet name="Inicio" sheetId="7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0">Tabla36</definedName>
    <definedName name="A" localSheetId="1">Tabla36</definedName>
    <definedName name="A" localSheetId="2">Tabla36</definedName>
    <definedName name="A">Tabla36</definedName>
    <definedName name="ACCIDENTE" localSheetId="0">#REF!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5" l="1"/>
  <c r="D10" i="5"/>
  <c r="J10" i="1" l="1"/>
  <c r="L10" i="5" l="1"/>
  <c r="M7" i="5" s="1"/>
  <c r="K10" i="5"/>
  <c r="K15" i="5" s="1"/>
  <c r="D29" i="5" s="1"/>
  <c r="J33" i="1"/>
  <c r="M9" i="5" l="1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15" i="1" l="1"/>
  <c r="E16" i="1"/>
  <c r="E12" i="1"/>
  <c r="E17" i="1"/>
  <c r="E9" i="1"/>
  <c r="E11" i="1"/>
  <c r="E7" i="1"/>
  <c r="E8" i="1"/>
  <c r="E13" i="1"/>
  <c r="E18" i="1"/>
  <c r="D24" i="6"/>
  <c r="D28" i="6"/>
  <c r="J26" i="5"/>
  <c r="J20" i="5"/>
  <c r="E8" i="6" s="1"/>
  <c r="E10" i="1" l="1"/>
  <c r="E14" i="1"/>
  <c r="D20" i="5"/>
  <c r="D18" i="5" l="1"/>
  <c r="K20" i="5" s="1"/>
  <c r="C29" i="6" l="1"/>
  <c r="D15" i="1" s="1"/>
  <c r="C26" i="6"/>
  <c r="D12" i="1" s="1"/>
  <c r="C23" i="6"/>
  <c r="D9" i="1" s="1"/>
  <c r="C21" i="6"/>
  <c r="D7" i="1" s="1"/>
  <c r="C31" i="6"/>
  <c r="D17" i="1" s="1"/>
  <c r="C22" i="6"/>
  <c r="D8" i="1" s="1"/>
  <c r="C32" i="6"/>
  <c r="D18" i="1" s="1"/>
  <c r="C27" i="6"/>
  <c r="D13" i="1" s="1"/>
  <c r="C30" i="6"/>
  <c r="D16" i="1" s="1"/>
  <c r="C25" i="6"/>
  <c r="D11" i="1" s="1"/>
  <c r="C24" i="6"/>
  <c r="D10" i="1" s="1"/>
  <c r="C28" i="6"/>
  <c r="D14" i="1" s="1"/>
  <c r="J22" i="1"/>
  <c r="K22" i="1" s="1"/>
  <c r="K21" i="5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L22" i="1" l="1"/>
  <c r="L10" i="1"/>
  <c r="L33" i="1" s="1"/>
  <c r="K33" i="1"/>
  <c r="K26" i="5"/>
  <c r="G8" i="6"/>
  <c r="K27" i="5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K29" i="5"/>
  <c r="K24" i="5"/>
  <c r="K30" i="5" s="1"/>
  <c r="Q22" i="1" l="1"/>
  <c r="Q24" i="1" s="1"/>
  <c r="Q26" i="1" s="1"/>
  <c r="N8" i="6"/>
  <c r="N7" i="6"/>
  <c r="K20" i="1"/>
  <c r="K19" i="1" s="1"/>
  <c r="K18" i="1" s="1"/>
  <c r="K30" i="1"/>
  <c r="K29" i="1" s="1"/>
  <c r="K28" i="1" s="1"/>
  <c r="K27" i="1" s="1"/>
  <c r="K31" i="1"/>
  <c r="L20" i="1"/>
  <c r="L19" i="1" s="1"/>
  <c r="L18" i="1" s="1"/>
  <c r="L31" i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K32" i="1"/>
  <c r="K34" i="1" s="1"/>
  <c r="L32" i="1"/>
  <c r="L34" i="1" s="1"/>
  <c r="N10" i="6"/>
  <c r="P10" i="6" s="1"/>
  <c r="E34" i="1" s="1"/>
  <c r="D19" i="1"/>
  <c r="D22" i="1" l="1"/>
  <c r="D29" i="1"/>
  <c r="D28" i="1"/>
  <c r="D26" i="1"/>
  <c r="D32" i="1"/>
  <c r="D25" i="1"/>
  <c r="D31" i="1"/>
  <c r="D33" i="1"/>
  <c r="D23" i="1"/>
  <c r="D27" i="1"/>
  <c r="D30" i="1"/>
  <c r="D24" i="1"/>
  <c r="J26" i="1"/>
  <c r="N27" i="1" s="1"/>
  <c r="L21" i="1"/>
  <c r="J21" i="1"/>
  <c r="K21" i="1"/>
  <c r="Q7" i="1" l="1"/>
  <c r="B1" i="1" s="1"/>
  <c r="J31" i="1"/>
  <c r="J30" i="1"/>
  <c r="N31" i="1" s="1"/>
  <c r="Q12" i="1"/>
  <c r="J20" i="1"/>
  <c r="N19" i="1" s="1"/>
  <c r="O4" i="1"/>
  <c r="O5" i="1"/>
  <c r="I13" i="1" l="1"/>
  <c r="N18" i="1"/>
  <c r="N17" i="1" s="1"/>
  <c r="N20" i="1"/>
  <c r="Q8" i="1"/>
  <c r="J29" i="1"/>
  <c r="N30" i="1" s="1"/>
  <c r="J19" i="1"/>
  <c r="J18" i="1" s="1"/>
  <c r="Q11" i="1"/>
  <c r="Q13" i="1" s="1"/>
  <c r="Q14" i="1" s="1"/>
  <c r="Q9" i="1"/>
  <c r="J32" i="1"/>
  <c r="J34" i="1" s="1"/>
  <c r="Q10" i="1" s="1"/>
  <c r="D34" i="1"/>
  <c r="J28" i="1" l="1"/>
  <c r="N29" i="1" s="1"/>
  <c r="P16" i="1"/>
  <c r="Q16" i="1"/>
  <c r="J27" i="1" l="1"/>
  <c r="N28" i="1" s="1"/>
</calcChain>
</file>

<file path=xl/sharedStrings.xml><?xml version="1.0" encoding="utf-8"?>
<sst xmlns="http://schemas.openxmlformats.org/spreadsheetml/2006/main" count="224" uniqueCount="147">
  <si>
    <t>BAJO</t>
  </si>
  <si>
    <t>MEDIO</t>
  </si>
  <si>
    <t>ALTO</t>
  </si>
  <si>
    <t>Comida Rápida</t>
  </si>
  <si>
    <t>ganancias netas mes</t>
  </si>
  <si>
    <t>Comida Ejecutiva</t>
  </si>
  <si>
    <t>ticket promedio</t>
  </si>
  <si>
    <t>Comida a la Carta</t>
  </si>
  <si>
    <t>Ocupación de Mesas/Temporada</t>
  </si>
  <si>
    <t>Aumento</t>
  </si>
  <si>
    <t>ocupación mesas/temporada/día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</si>
  <si>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</si>
  <si>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</si>
  <si>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</si>
  <si>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</si>
  <si>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</si>
  <si>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</si>
  <si>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</si>
  <si>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</si>
  <si>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</si>
  <si>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</si>
  <si>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</si>
  <si>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</si>
  <si>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</si>
  <si>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</si>
  <si>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</si>
  <si>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</si>
  <si>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</si>
  <si>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</si>
  <si>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</si>
  <si>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</si>
  <si>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Sillas</t>
  </si>
  <si>
    <t>Sillas por Mesa</t>
  </si>
  <si>
    <t>Ticket Promedio</t>
  </si>
  <si>
    <t>Elija por favor solamente el giro principal de su restaurante.</t>
  </si>
  <si>
    <t>Examinando su capacidad de atención</t>
  </si>
  <si>
    <t>¿Cuántas semanas al mes abre?</t>
  </si>
  <si>
    <t>(Capacidad Instalada Total) Mesas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</si>
  <si>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</si>
  <si>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</si>
  <si>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</si>
  <si>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</si>
  <si>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Platos y Bebidas a vender</t>
  </si>
  <si>
    <t>(promedio al mes)</t>
  </si>
  <si>
    <t>(promedio a la semana)</t>
  </si>
  <si>
    <t>(promedio al día)</t>
  </si>
  <si>
    <t>(promedio por hora)</t>
  </si>
  <si>
    <t>Clientes a atender</t>
  </si>
  <si>
    <t>En promedio, ¿cuántos productos se venden por cliente?</t>
  </si>
  <si>
    <t>Días que su negocio abre a la semana</t>
  </si>
  <si>
    <t>Horas Laborales del Local por día</t>
  </si>
  <si>
    <t>En general, del 100% de mesas, ¿cuántas se ocupan al día?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</si>
  <si>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</si>
  <si>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</si>
  <si>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</si>
  <si>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</si>
  <si>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</si>
  <si>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</si>
  <si>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</si>
  <si>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</si>
  <si>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</si>
  <si>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</si>
  <si>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</si>
  <si>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</si>
  <si>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</si>
  <si>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</si>
  <si>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</si>
  <si>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</si>
  <si>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</si>
  <si>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</si>
  <si>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</si>
  <si>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</si>
  <si>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</si>
  <si>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</si>
  <si>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</si>
  <si>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</si>
  <si>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</si>
  <si>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</si>
  <si>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</si>
  <si>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</si>
  <si>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</si>
  <si>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Cálculo promedio del precio de venta</t>
  </si>
  <si>
    <t>Precio de venta más alto</t>
  </si>
  <si>
    <t>Precio de venta más bajo</t>
  </si>
  <si>
    <t>Precio de venta medio</t>
  </si>
  <si>
    <t>¿Cuántos platos en el menú?</t>
  </si>
  <si>
    <t>Identificaremos cuántos platos tiene su menú y cantidades que vende al día.</t>
  </si>
  <si>
    <t>Solamente poner los platos comunes de ventas, no los especiales.</t>
  </si>
  <si>
    <t>Precio promedio de venta</t>
  </si>
  <si>
    <t>PLATOS</t>
  </si>
  <si>
    <t>BEBIDAS</t>
  </si>
  <si>
    <t>Ticket Promedio por Persona</t>
  </si>
  <si>
    <t>productividad/mesa/día-productos</t>
  </si>
  <si>
    <t>Nota: EBITDA es un resultado de ganancias antes de impuestos, amortizaciones y depreciaciones.</t>
  </si>
  <si>
    <t>Ingresos versus Ganancias por mes, anual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</si>
  <si>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</si>
  <si>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</si>
  <si>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</si>
  <si>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</si>
  <si>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ingresos brutos por hora (por ventas)</t>
  </si>
  <si>
    <t>Clientes por Hora:</t>
  </si>
  <si>
    <t>Productos por Hora/Cliente:</t>
  </si>
  <si>
    <t>Productos por Hora/Mesa:</t>
  </si>
  <si>
    <t>Facturaciones por Hora:</t>
  </si>
  <si>
    <t>Ingresos por Hora:</t>
  </si>
  <si>
    <t>Ganancias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</si>
  <si>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</si>
  <si>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</si>
  <si>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</si>
  <si>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</si>
  <si>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</si>
  <si>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</si>
  <si>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</si>
  <si>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</si>
  <si>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</si>
  <si>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</si>
  <si>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</si>
  <si>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</si>
  <si>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</si>
  <si>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</si>
  <si>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</si>
  <si>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</si>
  <si>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</si>
  <si>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</si>
  <si>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</si>
  <si>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facturaciones promedio/hora</t>
  </si>
  <si>
    <t>promedio productos facturados/hora</t>
  </si>
  <si>
    <t>clientes promedio/mes</t>
  </si>
  <si>
    <t>clientes promedio/semana</t>
  </si>
  <si>
    <t>clientes promedio/día</t>
  </si>
  <si>
    <t>clientes promedio/hora</t>
  </si>
  <si>
    <t>productos promedio/día</t>
  </si>
  <si>
    <t>AUDITADO</t>
  </si>
  <si>
    <t>Visite nuestra página web</t>
  </si>
  <si>
    <t>Capacidad Servicio Clientes por Día (mesas que se ocupan)</t>
  </si>
  <si>
    <t>Conforme 1 año de ventas, elija el mes que por experiencia calificaría como el más bajo en ventas.</t>
  </si>
  <si>
    <t>Procurar primero repetir los valores elegidos antes:</t>
  </si>
  <si>
    <t>Conforme al puntaje calificado arriba, describa por favor qué tipo de ventas es (bajas, medias o altas):</t>
  </si>
  <si>
    <t>Analice cuánto ingresará sus franquicias al mes y cuánto ganarán.</t>
  </si>
  <si>
    <t>Comportamiento Potencial de sus Franquicias</t>
  </si>
  <si>
    <t>Cálculo promedio-mes de ingresos para sus Franquicias</t>
  </si>
  <si>
    <t>¿Cuánto en ingresos deben hacer sus franquicias al mes en ventas mínimas?</t>
  </si>
  <si>
    <t>4 Sencillos Datos para identificar si es VIABLE multiplicar su negocio como modelo de franquicia</t>
  </si>
  <si>
    <t>Comportamiento Financiero: una idea rápida de la Factibilidad y Rentabilidad de su Negocio para Franquiciarlo</t>
  </si>
  <si>
    <t>experiencia en las ventas de su negocio, así luego calificarlo en escala del 1 a 10 para determinar una estacionalidad</t>
  </si>
  <si>
    <t xml:space="preserve">de las ventas (ventas por temporadas altas, medias y bajas) acorde a su giro de negocio actual. </t>
  </si>
  <si>
    <t>Ventas Bajas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</si>
</sst>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8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6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164" fontId="1" fillId="5" borderId="2" xfId="0" applyNumberFormat="1" applyFont="1" applyFill="1" applyBorder="1"/>
    <xf numFmtId="9" fontId="1" fillId="5" borderId="3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wrapText="1"/>
    </xf>
    <xf numFmtId="0" fontId="16" fillId="0" borderId="0" xfId="0" applyFont="1"/>
    <xf numFmtId="164" fontId="0" fillId="0" borderId="5" xfId="0" applyNumberFormat="1" applyBorder="1"/>
    <xf numFmtId="1" fontId="0" fillId="0" borderId="0" xfId="0" applyNumberFormat="1" applyAlignment="1">
      <alignment horizontal="center"/>
    </xf>
    <xf numFmtId="0" fontId="13" fillId="9" borderId="0" xfId="0" applyFont="1" applyFill="1"/>
    <xf numFmtId="10" fontId="22" fillId="8" borderId="0" xfId="3" applyNumberFormat="1" applyFont="1" applyFill="1"/>
    <xf numFmtId="166" fontId="0" fillId="0" borderId="0" xfId="0" applyNumberFormat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1" fillId="5" borderId="8" xfId="0" applyNumberFormat="1" applyFon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6" borderId="0" xfId="0" applyFill="1" applyAlignment="1" applyProtection="1">
      <alignment horizontal="center"/>
      <protection locked="0"/>
    </xf>
    <xf numFmtId="1" fontId="0" fillId="6" borderId="0" xfId="0" applyNumberFormat="1" applyFill="1" applyAlignment="1" applyProtection="1">
      <alignment horizontal="center"/>
      <protection locked="0"/>
    </xf>
    <xf numFmtId="164" fontId="0" fillId="6" borderId="0" xfId="0" applyNumberFormat="1" applyFill="1" applyProtection="1">
      <protection locked="0"/>
    </xf>
    <xf numFmtId="9" fontId="0" fillId="6" borderId="0" xfId="0" applyNumberFormat="1" applyFill="1" applyAlignment="1" applyProtection="1">
      <alignment horizontal="center"/>
      <protection locked="0"/>
    </xf>
    <xf numFmtId="9" fontId="0" fillId="6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0" fontId="21" fillId="5" borderId="11" xfId="0" applyFont="1" applyFill="1" applyBorder="1"/>
    <xf numFmtId="0" fontId="1" fillId="5" borderId="12" xfId="0" applyFont="1" applyFill="1" applyBorder="1" applyAlignment="1">
      <alignment horizontal="right"/>
    </xf>
    <xf numFmtId="0" fontId="21" fillId="5" borderId="4" xfId="0" applyFont="1" applyFill="1" applyBorder="1"/>
    <xf numFmtId="0" fontId="1" fillId="5" borderId="0" xfId="0" applyFont="1" applyFill="1" applyAlignment="1">
      <alignment horizontal="right"/>
    </xf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0" fontId="21" fillId="5" borderId="6" xfId="0" applyFont="1" applyFill="1" applyBorder="1"/>
    <xf numFmtId="0" fontId="1" fillId="5" borderId="7" xfId="0" applyFont="1" applyFill="1" applyBorder="1" applyAlignment="1">
      <alignment horizontal="right"/>
    </xf>
    <xf numFmtId="9" fontId="0" fillId="6" borderId="10" xfId="0" applyNumberFormat="1" applyFill="1" applyBorder="1" applyAlignment="1" applyProtection="1">
      <alignment horizontal="center"/>
      <protection locked="0"/>
    </xf>
    <xf numFmtId="164" fontId="1" fillId="5" borderId="8" xfId="0" applyNumberFormat="1" applyFont="1" applyFill="1" applyBorder="1"/>
    <xf numFmtId="0" fontId="1" fillId="5" borderId="10" xfId="0" applyFont="1" applyFill="1" applyBorder="1" applyAlignment="1">
      <alignment horizontal="center"/>
    </xf>
    <xf numFmtId="10" fontId="1" fillId="5" borderId="8" xfId="3" applyNumberFormat="1" applyFont="1" applyFill="1" applyBorder="1" applyAlignment="1">
      <alignment horizontal="center"/>
    </xf>
    <xf numFmtId="0" fontId="0" fillId="7" borderId="0" xfId="0" applyFill="1"/>
    <xf numFmtId="0" fontId="2" fillId="7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1" fontId="0" fillId="0" borderId="0" xfId="0" applyNumberFormat="1" applyAlignment="1">
      <alignment horizontal="left" vertical="center" textRotation="90" wrapText="1"/>
    </xf>
    <xf numFmtId="9" fontId="1" fillId="0" borderId="0" xfId="0" applyNumberFormat="1" applyFont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10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11" borderId="0" xfId="0" applyFont="1" applyFill="1" applyAlignment="1">
      <alignment horizontal="right"/>
    </xf>
    <xf numFmtId="0" fontId="2" fillId="11" borderId="0" xfId="0" applyFont="1" applyFill="1"/>
    <xf numFmtId="1" fontId="2" fillId="11" borderId="0" xfId="0" applyNumberFormat="1" applyFont="1" applyFill="1" applyAlignment="1">
      <alignment horizontal="center"/>
    </xf>
    <xf numFmtId="166" fontId="2" fillId="10" borderId="0" xfId="0" applyNumberFormat="1" applyFont="1" applyFill="1" applyAlignment="1">
      <alignment horizontal="center"/>
    </xf>
    <xf numFmtId="0" fontId="2" fillId="10" borderId="0" xfId="0" applyFont="1" applyFill="1"/>
    <xf numFmtId="1" fontId="2" fillId="10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0" fillId="0" borderId="4" xfId="0" applyBorder="1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5" xfId="0" applyBorder="1" applyAlignment="1">
      <alignment horizontal="center" vertical="top"/>
    </xf>
    <xf numFmtId="0" fontId="17" fillId="12" borderId="0" xfId="0" applyFont="1" applyFill="1" applyAlignment="1">
      <alignment horizontal="right"/>
    </xf>
    <xf numFmtId="0" fontId="14" fillId="12" borderId="0" xfId="0" applyFont="1" applyFill="1" applyAlignment="1">
      <alignment horizontal="right"/>
    </xf>
    <xf numFmtId="0" fontId="14" fillId="12" borderId="0" xfId="0" applyFont="1" applyFill="1" applyAlignment="1">
      <alignment horizontal="left"/>
    </xf>
    <xf numFmtId="0" fontId="10" fillId="12" borderId="4" xfId="0" applyFont="1" applyFill="1" applyBorder="1"/>
    <xf numFmtId="0" fontId="0" fillId="12" borderId="0" xfId="0" applyFill="1"/>
    <xf numFmtId="0" fontId="0" fillId="12" borderId="5" xfId="0" applyFill="1" applyBorder="1"/>
    <xf numFmtId="0" fontId="0" fillId="12" borderId="4" xfId="0" applyFill="1" applyBorder="1"/>
    <xf numFmtId="3" fontId="15" fillId="12" borderId="0" xfId="0" applyNumberFormat="1" applyFont="1" applyFill="1" applyAlignment="1">
      <alignment horizontal="center"/>
    </xf>
    <xf numFmtId="0" fontId="0" fillId="12" borderId="6" xfId="0" applyFill="1" applyBorder="1"/>
    <xf numFmtId="0" fontId="0" fillId="12" borderId="7" xfId="0" applyFill="1" applyBorder="1"/>
    <xf numFmtId="0" fontId="14" fillId="12" borderId="7" xfId="0" applyFont="1" applyFill="1" applyBorder="1" applyAlignment="1">
      <alignment horizontal="right"/>
    </xf>
    <xf numFmtId="3" fontId="15" fillId="12" borderId="7" xfId="0" applyNumberFormat="1" applyFont="1" applyFill="1" applyBorder="1" applyAlignment="1">
      <alignment horizontal="center"/>
    </xf>
    <xf numFmtId="0" fontId="14" fillId="12" borderId="7" xfId="0" applyFont="1" applyFill="1" applyBorder="1" applyAlignment="1">
      <alignment horizontal="left"/>
    </xf>
    <xf numFmtId="0" fontId="0" fillId="12" borderId="8" xfId="0" applyFill="1" applyBorder="1"/>
    <xf numFmtId="164" fontId="11" fillId="12" borderId="0" xfId="0" applyNumberFormat="1" applyFont="1" applyFill="1"/>
    <xf numFmtId="3" fontId="11" fillId="12" borderId="0" xfId="0" applyNumberFormat="1" applyFont="1" applyFill="1" applyAlignment="1">
      <alignment horizontal="center"/>
    </xf>
    <xf numFmtId="0" fontId="26" fillId="0" borderId="0" xfId="0" applyFont="1" applyAlignment="1">
      <alignment vertical="center"/>
    </xf>
    <xf numFmtId="0" fontId="0" fillId="0" borderId="0" xfId="0" applyProtection="1">
      <protection hidden="1"/>
    </xf>
    <xf numFmtId="0" fontId="16" fillId="0" borderId="0" xfId="0" applyFont="1" applyProtection="1">
      <protection hidden="1"/>
    </xf>
    <xf numFmtId="0" fontId="13" fillId="9" borderId="0" xfId="0" applyFont="1" applyFill="1" applyProtection="1">
      <protection hidden="1"/>
    </xf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0" fillId="8" borderId="0" xfId="0" applyFill="1" applyProtection="1">
      <protection hidden="1"/>
    </xf>
    <xf numFmtId="0" fontId="17" fillId="8" borderId="0" xfId="0" applyFont="1" applyFill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164" fontId="14" fillId="0" borderId="9" xfId="0" applyNumberFormat="1" applyFont="1" applyBorder="1" applyProtection="1">
      <protection hidden="1"/>
    </xf>
    <xf numFmtId="164" fontId="23" fillId="0" borderId="9" xfId="0" applyNumberFormat="1" applyFont="1" applyBorder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7" fillId="0" borderId="0" xfId="0" applyFont="1" applyAlignment="1" applyProtection="1">
      <alignment horizontal="left"/>
      <protection hidden="1"/>
    </xf>
    <xf numFmtId="164" fontId="20" fillId="5" borderId="0" xfId="0" applyNumberFormat="1" applyFont="1" applyFill="1" applyProtection="1">
      <protection hidden="1"/>
    </xf>
    <xf numFmtId="164" fontId="20" fillId="0" borderId="0" xfId="0" applyNumberFormat="1" applyFont="1" applyProtection="1">
      <protection hidden="1"/>
    </xf>
    <xf numFmtId="0" fontId="17" fillId="8" borderId="0" xfId="0" applyFont="1" applyFill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164" fontId="22" fillId="8" borderId="0" xfId="0" applyNumberFormat="1" applyFont="1" applyFill="1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164" fontId="0" fillId="0" borderId="5" xfId="0" applyNumberFormat="1" applyBorder="1" applyProtection="1">
      <protection hidden="1"/>
    </xf>
    <xf numFmtId="0" fontId="1" fillId="5" borderId="1" xfId="0" applyFont="1" applyFill="1" applyBorder="1" applyAlignment="1" applyProtection="1">
      <alignment horizontal="right"/>
      <protection hidden="1"/>
    </xf>
    <xf numFmtId="164" fontId="1" fillId="5" borderId="2" xfId="0" applyNumberFormat="1" applyFont="1" applyFill="1" applyBorder="1" applyProtection="1">
      <protection hidden="1"/>
    </xf>
    <xf numFmtId="9" fontId="1" fillId="5" borderId="3" xfId="0" applyNumberFormat="1" applyFont="1" applyFill="1" applyBorder="1" applyAlignment="1" applyProtection="1">
      <alignment horizontal="center"/>
      <protection hidden="1"/>
    </xf>
    <xf numFmtId="164" fontId="1" fillId="5" borderId="3" xfId="0" applyNumberFormat="1" applyFont="1" applyFill="1" applyBorder="1" applyProtection="1">
      <protection hidden="1"/>
    </xf>
    <xf numFmtId="0" fontId="0" fillId="6" borderId="0" xfId="0" applyFill="1" applyAlignment="1" applyProtection="1">
      <alignment horizontal="center"/>
      <protection locked="0" hidden="1"/>
    </xf>
    <xf numFmtId="1" fontId="0" fillId="6" borderId="0" xfId="0" applyNumberFormat="1" applyFill="1" applyAlignment="1" applyProtection="1">
      <alignment horizontal="center"/>
      <protection locked="0" hidden="1"/>
    </xf>
    <xf numFmtId="0" fontId="0" fillId="6" borderId="9" xfId="0" applyFill="1" applyBorder="1" applyAlignment="1" applyProtection="1">
      <alignment horizontal="center"/>
      <protection locked="0" hidden="1"/>
    </xf>
    <xf numFmtId="9" fontId="2" fillId="6" borderId="0" xfId="0" applyNumberFormat="1" applyFont="1" applyFill="1" applyAlignment="1" applyProtection="1">
      <alignment horizontal="center"/>
      <protection locked="0" hidden="1"/>
    </xf>
    <xf numFmtId="0" fontId="10" fillId="12" borderId="11" xfId="0" applyFont="1" applyFill="1" applyBorder="1" applyAlignment="1">
      <alignment horizontal="center"/>
    </xf>
    <xf numFmtId="0" fontId="10" fillId="12" borderId="12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hidden="1"/>
    </xf>
    <xf numFmtId="0" fontId="8" fillId="5" borderId="3" xfId="0" applyFont="1" applyFill="1" applyBorder="1" applyAlignment="1" applyProtection="1">
      <alignment horizontal="center"/>
      <protection hidden="1"/>
    </xf>
    <xf numFmtId="0" fontId="8" fillId="5" borderId="2" xfId="0" applyFont="1" applyFill="1" applyBorder="1" applyAlignment="1" applyProtection="1">
      <alignment horizontal="center"/>
      <protection hidden="1"/>
    </xf>
    <xf numFmtId="0" fontId="25" fillId="8" borderId="0" xfId="0" applyFont="1" applyFill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/>
      <protection hidden="1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6" fillId="0" borderId="0" xfId="0" applyFont="1"/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www.franquiciashubs.com/" TargetMode="External"/><Relationship Id="rId3" Type="http://schemas.openxmlformats.org/officeDocument/2006/relationships/hyperlink" Target="https://www.winprojects.pro/" TargetMode="External"/><Relationship Id="rId7" Type="http://schemas.openxmlformats.org/officeDocument/2006/relationships/hyperlink" Target="#'Multiplicando su Negocio'!A1"/><Relationship Id="rId12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hyperlink" Target="https://www.mfcyourfranchise.com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s://www.bdseniorpartners.com/" TargetMode="External"/><Relationship Id="rId10" Type="http://schemas.openxmlformats.org/officeDocument/2006/relationships/hyperlink" Target="https://wrcapital.pro/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jpeg"/><Relationship Id="rId3" Type="http://schemas.openxmlformats.org/officeDocument/2006/relationships/image" Target="../media/image11.png"/><Relationship Id="rId7" Type="http://schemas.openxmlformats.org/officeDocument/2006/relationships/hyperlink" Target="#Inicio!A1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4.png"/><Relationship Id="rId5" Type="http://schemas.openxmlformats.org/officeDocument/2006/relationships/hyperlink" Target="#'Presupuesto Anual Franquicias'!A1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14.png"/><Relationship Id="rId1" Type="http://schemas.openxmlformats.org/officeDocument/2006/relationships/hyperlink" Target="#'Viabilidad para Franquiciar'!A1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121920</xdr:rowOff>
    </xdr:from>
    <xdr:to>
      <xdr:col>4</xdr:col>
      <xdr:colOff>568960</xdr:colOff>
      <xdr:row>9</xdr:row>
      <xdr:rowOff>43815</xdr:rowOff>
    </xdr:to>
    <xdr:pic>
      <xdr:nvPicPr>
        <xdr:cNvPr id="2" name="Imagen 1">
          <a:hlinkClick xmlns:r="http://schemas.openxmlformats.org/officeDocument/2006/relationships" r:id="rId1" tooltip="Dirección General de Franquicias"/>
          <a:extLst>
            <a:ext uri="{FF2B5EF4-FFF2-40B4-BE49-F238E27FC236}">
              <a16:creationId xmlns:a16="http://schemas.microsoft.com/office/drawing/2014/main" id="{FBEE3189-7045-4D93-8912-3A694A8B74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716280" y="12192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23</xdr:row>
      <xdr:rowOff>167640</xdr:rowOff>
    </xdr:from>
    <xdr:to>
      <xdr:col>3</xdr:col>
      <xdr:colOff>990755</xdr:colOff>
      <xdr:row>29</xdr:row>
      <xdr:rowOff>76200</xdr:rowOff>
    </xdr:to>
    <xdr:pic>
      <xdr:nvPicPr>
        <xdr:cNvPr id="3" name="Imagen 2">
          <a:hlinkClick xmlns:r="http://schemas.openxmlformats.org/officeDocument/2006/relationships" r:id="rId3" tooltip="Crea Franquicias"/>
          <a:extLst>
            <a:ext uri="{FF2B5EF4-FFF2-40B4-BE49-F238E27FC236}">
              <a16:creationId xmlns:a16="http://schemas.microsoft.com/office/drawing/2014/main" id="{D60081F2-8BC3-4D9B-BB92-438C2D41CE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365760" y="437388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310515</xdr:colOff>
      <xdr:row>28</xdr:row>
      <xdr:rowOff>133350</xdr:rowOff>
    </xdr:to>
    <xdr:pic>
      <xdr:nvPicPr>
        <xdr:cNvPr id="4" name="Imagen 3">
          <a:hlinkClick xmlns:r="http://schemas.openxmlformats.org/officeDocument/2006/relationships" r:id="rId5" tooltip="Dirección Jurídica Franquicias para USA"/>
          <a:extLst>
            <a:ext uri="{FF2B5EF4-FFF2-40B4-BE49-F238E27FC236}">
              <a16:creationId xmlns:a16="http://schemas.microsoft.com/office/drawing/2014/main" id="{292BEEC5-F1CF-43BA-8CFC-AB1B3AD0F4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528060" y="4389120"/>
          <a:ext cx="3070860" cy="861060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0F03E53-F444-49AE-A8E3-99C3C52FFB5C}"/>
            </a:ext>
          </a:extLst>
        </xdr:cNvPr>
        <xdr:cNvSpPr txBox="1"/>
      </xdr:nvSpPr>
      <xdr:spPr>
        <a:xfrm>
          <a:off x="4815840" y="342900"/>
          <a:ext cx="639318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46285ED-5871-48FB-87B4-21764094FB95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DE RESTAURANTES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8" name="Imagen 7">
          <a:hlinkClick xmlns:r="http://schemas.openxmlformats.org/officeDocument/2006/relationships" r:id="rId7" tooltip="Conozca cuál debe ser la dinámica de su negocio franquiciado"/>
          <a:extLst>
            <a:ext uri="{FF2B5EF4-FFF2-40B4-BE49-F238E27FC236}">
              <a16:creationId xmlns:a16="http://schemas.microsoft.com/office/drawing/2014/main" id="{2D8F938E-7ADE-439E-940A-E1385F192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64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9" name="CuadroTexto 8">
          <a:hlinkClick xmlns:r="http://schemas.openxmlformats.org/officeDocument/2006/relationships" r:id="rId7" tooltip="Conozca cuál debe ser la dinámica de su negocio franquiciado"/>
          <a:extLst>
            <a:ext uri="{FF2B5EF4-FFF2-40B4-BE49-F238E27FC236}">
              <a16:creationId xmlns:a16="http://schemas.microsoft.com/office/drawing/2014/main" id="{6B3900B9-6446-4FFF-88DB-14808A9F9EE2}"/>
            </a:ext>
          </a:extLst>
        </xdr:cNvPr>
        <xdr:cNvSpPr txBox="1"/>
      </xdr:nvSpPr>
      <xdr:spPr>
        <a:xfrm>
          <a:off x="1190244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1</xdr:col>
      <xdr:colOff>525780</xdr:colOff>
      <xdr:row>9</xdr:row>
      <xdr:rowOff>53340</xdr:rowOff>
    </xdr:from>
    <xdr:to>
      <xdr:col>2</xdr:col>
      <xdr:colOff>666750</xdr:colOff>
      <xdr:row>11</xdr:row>
      <xdr:rowOff>161342</xdr:rowOff>
    </xdr:to>
    <xdr:pic>
      <xdr:nvPicPr>
        <xdr:cNvPr id="10" name="Imagen 9" descr="Vector Transparente PNG Y SVG De Trazo De Icono De Sitio Web Ww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C68D49-6963-4F1F-B55B-0236A13732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91540" y="169926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179284</xdr:colOff>
      <xdr:row>29</xdr:row>
      <xdr:rowOff>66886</xdr:rowOff>
    </xdr:from>
    <xdr:to>
      <xdr:col>1</xdr:col>
      <xdr:colOff>737449</xdr:colOff>
      <xdr:row>31</xdr:row>
      <xdr:rowOff>171078</xdr:rowOff>
    </xdr:to>
    <xdr:pic>
      <xdr:nvPicPr>
        <xdr:cNvPr id="11" name="Imagen 10" descr="Vector Transparente PNG Y SVG De Trazo De Icono De Sitio Web Www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09CEA5-785B-461B-9548-3B0E536F4D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79284" y="5559636"/>
          <a:ext cx="907415" cy="485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758190</xdr:colOff>
      <xdr:row>31</xdr:row>
      <xdr:rowOff>149912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2E3A92-3700-4BB1-A3F2-97E09EFA55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74142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617220</xdr:colOff>
      <xdr:row>29</xdr:row>
      <xdr:rowOff>45720</xdr:rowOff>
    </xdr:from>
    <xdr:to>
      <xdr:col>10</xdr:col>
      <xdr:colOff>758190</xdr:colOff>
      <xdr:row>31</xdr:row>
      <xdr:rowOff>149912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B350876-B602-4DC0-8D8F-157706DE20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753618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FDBF83A-DA37-4B8B-ADA6-6DE2AAE387AB}"/>
            </a:ext>
          </a:extLst>
        </xdr:cNvPr>
        <xdr:cNvSpPr txBox="1"/>
      </xdr:nvSpPr>
      <xdr:spPr>
        <a:xfrm>
          <a:off x="365760" y="3474720"/>
          <a:ext cx="1336548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 restaurante 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franquiciable.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513E447-8B88-4F6F-B528-AE0B9CE34E93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México, California y Florida, EE.UU.: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Escuela de Franquicias y Apertura en EE.UU.</a:t>
          </a:r>
        </a:p>
      </xdr:txBody>
    </xdr:sp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E1EBD64F-EFB1-4D32-A873-498FCB1EE60D}"/>
            </a:ext>
          </a:extLst>
        </xdr:cNvPr>
        <xdr:cNvSpPr txBox="1"/>
      </xdr:nvSpPr>
      <xdr:spPr>
        <a:xfrm>
          <a:off x="320040" y="5836920"/>
          <a:ext cx="292608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Firma experta en Negocios: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7535FB35-C1DD-4CA1-9040-4ED8373D47CA}"/>
            </a:ext>
          </a:extLst>
        </xdr:cNvPr>
        <xdr:cNvSpPr txBox="1"/>
      </xdr:nvSpPr>
      <xdr:spPr>
        <a:xfrm>
          <a:off x="345948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346C2893-1CB6-4BB4-B325-6DCDF41BDF5A}"/>
            </a:ext>
          </a:extLst>
        </xdr:cNvPr>
        <xdr:cNvSpPr txBox="1"/>
      </xdr:nvSpPr>
      <xdr:spPr>
        <a:xfrm>
          <a:off x="6949440" y="5836920"/>
          <a:ext cx="3657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Coach Inversiones en Franquicias: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Creación de Patrimonio para Inversores</a:t>
          </a: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AC66DBE3-E314-474A-B253-669F4AB84B86}"/>
            </a:ext>
          </a:extLst>
        </xdr:cNvPr>
        <xdr:cNvSpPr txBox="1"/>
      </xdr:nvSpPr>
      <xdr:spPr>
        <a:xfrm>
          <a:off x="105232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>
              <a:solidFill>
                <a:srgbClr val="0070C0"/>
              </a:solidFill>
            </a:rPr>
            <a:t>Comercialización de Franquicias</a:t>
          </a:r>
        </a:p>
      </xdr:txBody>
    </xdr:sp>
    <xdr:clientData/>
  </xdr:twoCellAnchor>
  <xdr:twoCellAnchor editAs="oneCell">
    <xdr:from>
      <xdr:col>14</xdr:col>
      <xdr:colOff>243840</xdr:colOff>
      <xdr:row>1</xdr:row>
      <xdr:rowOff>106680</xdr:rowOff>
    </xdr:from>
    <xdr:to>
      <xdr:col>17</xdr:col>
      <xdr:colOff>522600</xdr:colOff>
      <xdr:row>12</xdr:row>
      <xdr:rowOff>147000</xdr:rowOff>
    </xdr:to>
    <xdr:pic>
      <xdr:nvPicPr>
        <xdr:cNvPr id="23" name="Imagen 22" descr="Pratos Talheres Restaurante - Gráfico vetorial grátis no Pixabay">
          <a:extLst>
            <a:ext uri="{FF2B5EF4-FFF2-40B4-BE49-F238E27FC236}">
              <a16:creationId xmlns:a16="http://schemas.microsoft.com/office/drawing/2014/main" id="{0F440A0C-666F-4DA8-9076-1447676B6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289560"/>
          <a:ext cx="2656200" cy="20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592666</xdr:colOff>
      <xdr:row>23</xdr:row>
      <xdr:rowOff>189465</xdr:rowOff>
    </xdr:from>
    <xdr:to>
      <xdr:col>12</xdr:col>
      <xdr:colOff>634611</xdr:colOff>
      <xdr:row>30</xdr:row>
      <xdr:rowOff>24242</xdr:rowOff>
    </xdr:to>
    <xdr:pic>
      <xdr:nvPicPr>
        <xdr:cNvPr id="25" name="Imagen 24">
          <a:hlinkClick xmlns:r="http://schemas.openxmlformats.org/officeDocument/2006/relationships" r:id="rId10" tooltip="Inteligencia de Desarrollo de Negocios"/>
          <a:extLst>
            <a:ext uri="{FF2B5EF4-FFF2-40B4-BE49-F238E27FC236}">
              <a16:creationId xmlns:a16="http://schemas.microsoft.com/office/drawing/2014/main" id="{1F18E07D-1D63-C91B-5752-171E0AD98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333" y="4539215"/>
          <a:ext cx="2327945" cy="1168277"/>
        </a:xfrm>
        <a:prstGeom prst="rect">
          <a:avLst/>
        </a:prstGeom>
      </xdr:spPr>
    </xdr:pic>
    <xdr:clientData/>
  </xdr:twoCellAnchor>
  <xdr:twoCellAnchor editAs="oneCell">
    <xdr:from>
      <xdr:col>13</xdr:col>
      <xdr:colOff>573849</xdr:colOff>
      <xdr:row>29</xdr:row>
      <xdr:rowOff>55246</xdr:rowOff>
    </xdr:from>
    <xdr:to>
      <xdr:col>14</xdr:col>
      <xdr:colOff>714819</xdr:colOff>
      <xdr:row>31</xdr:row>
      <xdr:rowOff>159438</xdr:rowOff>
    </xdr:to>
    <xdr:pic>
      <xdr:nvPicPr>
        <xdr:cNvPr id="5" name="Imagen 4" descr="Vector Transparente PNG Y SVG De Trazo De Icono De Sitio Web Www">
          <a:hlinkClick xmlns:r="http://schemas.openxmlformats.org/officeDocument/2006/relationships" r:id="rId13" tooltip="Comercialización de Franquicias"/>
          <a:extLst>
            <a:ext uri="{FF2B5EF4-FFF2-40B4-BE49-F238E27FC236}">
              <a16:creationId xmlns:a16="http://schemas.microsoft.com/office/drawing/2014/main" id="{5B140B53-4826-4B13-9C69-B09D4AFC1E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524673" y="5546128"/>
          <a:ext cx="902970" cy="485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515475</xdr:colOff>
      <xdr:row>25</xdr:row>
      <xdr:rowOff>0</xdr:rowOff>
    </xdr:from>
    <xdr:to>
      <xdr:col>17</xdr:col>
      <xdr:colOff>169298</xdr:colOff>
      <xdr:row>28</xdr:row>
      <xdr:rowOff>171451</xdr:rowOff>
    </xdr:to>
    <xdr:pic>
      <xdr:nvPicPr>
        <xdr:cNvPr id="14" name="Imagen 13">
          <a:hlinkClick xmlns:r="http://schemas.openxmlformats.org/officeDocument/2006/relationships" r:id="rId13" tooltip="Comercialización de Franquicias"/>
          <a:extLst>
            <a:ext uri="{FF2B5EF4-FFF2-40B4-BE49-F238E27FC236}">
              <a16:creationId xmlns:a16="http://schemas.microsoft.com/office/drawing/2014/main" id="{CD828AFE-9554-4535-A9E8-0DF454AE8F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10" b="22219"/>
        <a:stretch/>
      </xdr:blipFill>
      <xdr:spPr>
        <a:xfrm>
          <a:off x="10466299" y="4728882"/>
          <a:ext cx="2701823" cy="742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944880</xdr:colOff>
      <xdr:row>21</xdr:row>
      <xdr:rowOff>121920</xdr:rowOff>
    </xdr:from>
    <xdr:to>
      <xdr:col>6</xdr:col>
      <xdr:colOff>704850</xdr:colOff>
      <xdr:row>29</xdr:row>
      <xdr:rowOff>104775</xdr:rowOff>
    </xdr:to>
    <xdr:pic>
      <xdr:nvPicPr>
        <xdr:cNvPr id="7" name="Imagen 6" descr="Monochrome Kontur Burger Mit Französisch Frites Und Soda Vektor-Abbildung  Lizenzfrei Nutzbare SVG, Vektorgrafiken, Clip Arts, Illustrationen. Image  74037701.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4823460"/>
          <a:ext cx="1760220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12</xdr:row>
      <xdr:rowOff>22860</xdr:rowOff>
    </xdr:from>
    <xdr:to>
      <xdr:col>7</xdr:col>
      <xdr:colOff>77819</xdr:colOff>
      <xdr:row>20</xdr:row>
      <xdr:rowOff>145808</xdr:rowOff>
    </xdr:to>
    <xdr:pic>
      <xdr:nvPicPr>
        <xdr:cNvPr id="3" name="Imagen 2" descr="Mesa Restaurante | 3D Warehous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99BD91"/>
            </a:clrFrom>
            <a:clrTo>
              <a:srgbClr val="99BD91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2468880"/>
          <a:ext cx="3270599" cy="1839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22</xdr:row>
      <xdr:rowOff>68580</xdr:rowOff>
    </xdr:from>
    <xdr:to>
      <xdr:col>5</xdr:col>
      <xdr:colOff>1314450</xdr:colOff>
      <xdr:row>29</xdr:row>
      <xdr:rowOff>95250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0292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868680</xdr:colOff>
      <xdr:row>22</xdr:row>
      <xdr:rowOff>0</xdr:rowOff>
    </xdr:from>
    <xdr:to>
      <xdr:col>5</xdr:col>
      <xdr:colOff>1924050</xdr:colOff>
      <xdr:row>26</xdr:row>
      <xdr:rowOff>142875</xdr:rowOff>
    </xdr:to>
    <xdr:pic>
      <xdr:nvPicPr>
        <xdr:cNvPr id="5" name="Imagen 4" descr="Taco - Iconos gratis de comida y restaurant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4960620"/>
          <a:ext cx="105918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782383</xdr:colOff>
      <xdr:row>16</xdr:row>
      <xdr:rowOff>81915</xdr:rowOff>
    </xdr:from>
    <xdr:to>
      <xdr:col>14</xdr:col>
      <xdr:colOff>439145</xdr:colOff>
      <xdr:row>18</xdr:row>
      <xdr:rowOff>64165</xdr:rowOff>
    </xdr:to>
    <xdr:pic>
      <xdr:nvPicPr>
        <xdr:cNvPr id="9" name="Imagen 8">
          <a:hlinkClick xmlns:r="http://schemas.openxmlformats.org/officeDocument/2006/relationships" r:id="rId5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0203" y="3488055"/>
          <a:ext cx="449242" cy="431830"/>
        </a:xfrm>
        <a:prstGeom prst="rect">
          <a:avLst/>
        </a:prstGeom>
      </xdr:spPr>
    </xdr:pic>
    <xdr:clientData/>
  </xdr:twoCellAnchor>
  <xdr:twoCellAnchor>
    <xdr:from>
      <xdr:col>12</xdr:col>
      <xdr:colOff>739140</xdr:colOff>
      <xdr:row>16</xdr:row>
      <xdr:rowOff>93311</xdr:rowOff>
    </xdr:from>
    <xdr:to>
      <xdr:col>14</xdr:col>
      <xdr:colOff>32204</xdr:colOff>
      <xdr:row>18</xdr:row>
      <xdr:rowOff>91440</xdr:rowOff>
    </xdr:to>
    <xdr:sp macro="" textlink="">
      <xdr:nvSpPr>
        <xdr:cNvPr id="10" name="CuadroTexto 9">
          <a:hlinkClick xmlns:r="http://schemas.openxmlformats.org/officeDocument/2006/relationships" r:id="rId5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984480" y="3499451"/>
          <a:ext cx="878024" cy="4477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12</xdr:col>
      <xdr:colOff>739140</xdr:colOff>
      <xdr:row>18</xdr:row>
      <xdr:rowOff>64770</xdr:rowOff>
    </xdr:from>
    <xdr:to>
      <xdr:col>14</xdr:col>
      <xdr:colOff>439145</xdr:colOff>
      <xdr:row>20</xdr:row>
      <xdr:rowOff>175115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2662199" y="4020446"/>
          <a:ext cx="1235211" cy="569787"/>
          <a:chOff x="12832080" y="640080"/>
          <a:chExt cx="1288775" cy="542780"/>
        </a:xfrm>
      </xdr:grpSpPr>
      <xdr:pic>
        <xdr:nvPicPr>
          <xdr:cNvPr id="12" name="Imagen 11">
            <a:hlinkClick xmlns:r="http://schemas.openxmlformats.org/officeDocument/2006/relationships" r:id="rId7" tooltip="Regrese al Inicio"/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0800000">
            <a:off x="13670281" y="640080"/>
            <a:ext cx="450574" cy="444305"/>
          </a:xfrm>
          <a:prstGeom prst="rect">
            <a:avLst/>
          </a:prstGeom>
        </xdr:spPr>
      </xdr:pic>
      <xdr:sp macro="" textlink="">
        <xdr:nvSpPr>
          <xdr:cNvPr id="13" name="CuadroTexto 12">
            <a:hlinkClick xmlns:r="http://schemas.openxmlformats.org/officeDocument/2006/relationships" r:id="rId7" tooltip="Regrese al Inicio"/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12832080" y="651804"/>
            <a:ext cx="880627" cy="531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Página</a:t>
            </a:r>
          </a:p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Anterior</a:t>
            </a:r>
          </a:p>
        </xdr:txBody>
      </xdr:sp>
    </xdr:grpSp>
    <xdr:clientData/>
  </xdr:twoCellAnchor>
  <xdr:twoCellAnchor editAs="oneCell">
    <xdr:from>
      <xdr:col>5</xdr:col>
      <xdr:colOff>678181</xdr:colOff>
      <xdr:row>2</xdr:row>
      <xdr:rowOff>259080</xdr:rowOff>
    </xdr:from>
    <xdr:to>
      <xdr:col>6</xdr:col>
      <xdr:colOff>706786</xdr:colOff>
      <xdr:row>11</xdr:row>
      <xdr:rowOff>249330</xdr:rowOff>
    </xdr:to>
    <xdr:pic>
      <xdr:nvPicPr>
        <xdr:cNvPr id="15" name="Imagen 14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11</xdr:row>
      <xdr:rowOff>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998720" y="1013460"/>
          <a:ext cx="1264920" cy="13106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428625</xdr:colOff>
      <xdr:row>5</xdr:row>
      <xdr:rowOff>142875</xdr:rowOff>
    </xdr:from>
    <xdr:to>
      <xdr:col>2</xdr:col>
      <xdr:colOff>723900</xdr:colOff>
      <xdr:row>10</xdr:row>
      <xdr:rowOff>66675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28625" y="1362075"/>
          <a:ext cx="2286000" cy="828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mide la cantidad de pedidos pagados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14</xdr:row>
      <xdr:rowOff>38100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574780" y="2255520"/>
          <a:ext cx="2148840" cy="8229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un cliente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comprar fijo de tu negocio, al visitarlo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N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3428999</xdr:colOff>
      <xdr:row>15</xdr:row>
      <xdr:rowOff>91440</xdr:rowOff>
    </xdr:from>
    <xdr:to>
      <xdr:col>5</xdr:col>
      <xdr:colOff>3825239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914028" y="3542852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3436619</xdr:colOff>
      <xdr:row>16</xdr:row>
      <xdr:rowOff>99060</xdr:rowOff>
    </xdr:from>
    <xdr:to>
      <xdr:col>5</xdr:col>
      <xdr:colOff>3832859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921648" y="3740972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3675530</xdr:colOff>
      <xdr:row>17</xdr:row>
      <xdr:rowOff>123264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7160559" y="3955676"/>
          <a:ext cx="960568" cy="333936"/>
        </a:xfrm>
        <a:prstGeom prst="bentConnector3">
          <a:avLst>
            <a:gd name="adj1" fmla="val 100163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32</xdr:row>
      <xdr:rowOff>167640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45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83820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71F23-32D7-42F6-8B52-D815CA73896D}">
  <dimension ref="A1:R31"/>
  <sheetViews>
    <sheetView showGridLines="0" showRowColHeaders="0" tabSelected="1" zoomScale="85" zoomScaleNormal="85" workbookViewId="0">
      <selection activeCell="N26" sqref="N26"/>
    </sheetView>
  </sheetViews>
  <sheetFormatPr baseColWidth="10" defaultRowHeight="15" x14ac:dyDescent="0.25"/>
  <cols>
    <col min="1" max="1" width="5.28515625" customWidth="1"/>
    <col min="4" max="4" width="17.140625" customWidth="1"/>
    <col min="5" max="5" width="11.5703125" customWidth="1"/>
    <col min="9" max="9" width="9.140625" customWidth="1"/>
    <col min="13" max="13" width="14.85546875" customWidth="1"/>
  </cols>
  <sheetData>
    <row r="1" spans="1:18" ht="14.45" customHeight="1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14.4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14.4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11" spans="1:18" x14ac:dyDescent="0.25">
      <c r="D11" t="s">
        <v>133</v>
      </c>
    </row>
    <row r="31" spans="3:16" x14ac:dyDescent="0.25">
      <c r="C31" t="s">
        <v>133</v>
      </c>
      <c r="G31" t="s">
        <v>133</v>
      </c>
      <c r="L31" t="s">
        <v>133</v>
      </c>
      <c r="P31" t="s">
        <v>133</v>
      </c>
    </row>
  </sheetData>
  <sheetProtection algorithmName="SHA-512" hashValue="DvkFdjp+xboHa4/Z21oyVMO6ARdikv4QSQzVI4OSf1Fu5XZSi7/mwtKLn7sn05WeTeY+G6WdosT2CzXOP6ElEQ==" saltValue="MFMY6PDJHf9Se5Nq9eM7RQ==" spinCount="100000" sheet="1" objects="1" scenarios="1" selectLockedCells="1" selectUnlockedCells="1"/>
  <hyperlinks>
    <hyperlink ref="A34" r:id="rId1" display="https://www.winpartnersgroup.com/ " xr:uid="{684E8539-BE12-4BFE-B1E7-C17F52EA64C7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0"/>
  <sheetViews>
    <sheetView showGridLines="0" showRowColHeaders="0" zoomScale="85" zoomScaleNormal="85" workbookViewId="0">
      <selection activeCell="D26" sqref="D26"/>
    </sheetView>
  </sheetViews>
  <sheetFormatPr baseColWidth="10" defaultRowHeight="15" x14ac:dyDescent="0.25"/>
  <cols>
    <col min="1" max="1" width="17.42578125" customWidth="1"/>
    <col min="2" max="2" width="11.5703125" customWidth="1"/>
    <col min="3" max="3" width="27.28515625" customWidth="1"/>
    <col min="4" max="4" width="12.28515625" bestFit="1" customWidth="1"/>
    <col min="5" max="5" width="6.42578125" customWidth="1"/>
    <col min="6" max="6" width="29.140625" customWidth="1"/>
    <col min="8" max="8" width="11.5703125" bestFit="1" customWidth="1"/>
    <col min="11" max="11" width="17.28515625" bestFit="1" customWidth="1"/>
    <col min="12" max="13" width="11.5703125" bestFit="1" customWidth="1"/>
  </cols>
  <sheetData>
    <row r="1" spans="2:13" ht="26.25" x14ac:dyDescent="0.4">
      <c r="B1" s="23" t="s">
        <v>142</v>
      </c>
    </row>
    <row r="3" spans="2:13" ht="21" x14ac:dyDescent="0.35">
      <c r="B3" s="26">
        <v>1</v>
      </c>
      <c r="C3" s="21" t="s">
        <v>29</v>
      </c>
      <c r="H3" s="26">
        <v>4</v>
      </c>
      <c r="I3" s="21" t="s">
        <v>81</v>
      </c>
    </row>
    <row r="4" spans="2:13" ht="21" x14ac:dyDescent="0.35">
      <c r="B4" s="20" t="s">
        <v>34</v>
      </c>
      <c r="D4" s="19"/>
      <c r="E4" s="19"/>
      <c r="I4" s="20" t="s">
        <v>86</v>
      </c>
    </row>
    <row r="5" spans="2:13" x14ac:dyDescent="0.25">
      <c r="B5" s="20" t="s">
        <v>40</v>
      </c>
      <c r="I5" s="20" t="s">
        <v>87</v>
      </c>
    </row>
    <row r="6" spans="2:13" x14ac:dyDescent="0.25">
      <c r="J6" s="4" t="s">
        <v>89</v>
      </c>
      <c r="L6" s="30" t="s">
        <v>85</v>
      </c>
    </row>
    <row r="7" spans="2:13" x14ac:dyDescent="0.25">
      <c r="C7" s="6" t="s">
        <v>3</v>
      </c>
      <c r="D7" s="35">
        <v>7.7</v>
      </c>
      <c r="J7" s="6" t="s">
        <v>82</v>
      </c>
      <c r="K7" s="35">
        <v>35</v>
      </c>
      <c r="L7" s="34">
        <v>2</v>
      </c>
      <c r="M7" s="29">
        <f>L7/$L$10</f>
        <v>9.0909090909090912E-2</v>
      </c>
    </row>
    <row r="8" spans="2:13" x14ac:dyDescent="0.25">
      <c r="C8" s="6" t="s">
        <v>5</v>
      </c>
      <c r="D8" s="35">
        <v>0</v>
      </c>
      <c r="J8" s="6" t="s">
        <v>84</v>
      </c>
      <c r="K8" s="35">
        <v>5</v>
      </c>
      <c r="L8" s="34">
        <v>8</v>
      </c>
      <c r="M8" s="29">
        <f>L8/$L$10</f>
        <v>0.36363636363636365</v>
      </c>
    </row>
    <row r="9" spans="2:13" x14ac:dyDescent="0.25">
      <c r="C9" s="6" t="s">
        <v>7</v>
      </c>
      <c r="D9" s="35">
        <v>0</v>
      </c>
      <c r="J9" s="6" t="s">
        <v>83</v>
      </c>
      <c r="K9" s="35">
        <v>4</v>
      </c>
      <c r="L9" s="34">
        <v>12</v>
      </c>
      <c r="M9" s="29">
        <f>L9/$L$10</f>
        <v>0.54545454545454541</v>
      </c>
    </row>
    <row r="10" spans="2:13" x14ac:dyDescent="0.25">
      <c r="C10" s="6" t="s">
        <v>33</v>
      </c>
      <c r="D10" s="5">
        <f>SUM(D7:D9)</f>
        <v>7.7</v>
      </c>
      <c r="J10" s="6" t="s">
        <v>88</v>
      </c>
      <c r="K10" s="5">
        <f>AVERAGE(K7:K9)</f>
        <v>14.666666666666666</v>
      </c>
      <c r="L10" s="25">
        <f>SUM(L7:L9)</f>
        <v>22</v>
      </c>
      <c r="M10" s="29">
        <f>L10/$L$10</f>
        <v>1</v>
      </c>
    </row>
    <row r="11" spans="2:13" x14ac:dyDescent="0.25">
      <c r="J11" s="4" t="s">
        <v>90</v>
      </c>
    </row>
    <row r="12" spans="2:13" ht="21" x14ac:dyDescent="0.35">
      <c r="B12" s="26">
        <v>2</v>
      </c>
      <c r="C12" s="21" t="s">
        <v>30</v>
      </c>
      <c r="J12" s="6" t="s">
        <v>82</v>
      </c>
      <c r="K12" s="35">
        <v>2</v>
      </c>
    </row>
    <row r="13" spans="2:13" ht="21" x14ac:dyDescent="0.35">
      <c r="B13" s="20" t="s">
        <v>38</v>
      </c>
      <c r="D13" s="19"/>
      <c r="E13" s="19"/>
      <c r="J13" s="6" t="s">
        <v>83</v>
      </c>
      <c r="K13" s="35">
        <v>1.7</v>
      </c>
    </row>
    <row r="14" spans="2:13" x14ac:dyDescent="0.25">
      <c r="B14" s="20" t="s">
        <v>39</v>
      </c>
      <c r="K14" s="5">
        <f>AVERAGE(K12:K13)</f>
        <v>1.85</v>
      </c>
    </row>
    <row r="15" spans="2:13" x14ac:dyDescent="0.25">
      <c r="J15" s="4" t="s">
        <v>91</v>
      </c>
      <c r="K15" s="5">
        <f>K10+K14</f>
        <v>16.516666666666666</v>
      </c>
    </row>
    <row r="16" spans="2:13" x14ac:dyDescent="0.25">
      <c r="C16" s="6" t="s">
        <v>37</v>
      </c>
      <c r="D16" s="34">
        <v>5</v>
      </c>
    </row>
    <row r="17" spans="2:13" ht="21" x14ac:dyDescent="0.35">
      <c r="C17" s="6" t="s">
        <v>31</v>
      </c>
      <c r="D17" s="34">
        <v>10</v>
      </c>
      <c r="H17" s="128" t="s">
        <v>140</v>
      </c>
      <c r="I17" s="129"/>
      <c r="J17" s="129"/>
      <c r="K17" s="129"/>
      <c r="L17" s="129"/>
      <c r="M17" s="130"/>
    </row>
    <row r="18" spans="2:13" ht="14.45" customHeight="1" x14ac:dyDescent="0.25">
      <c r="C18" s="6" t="s">
        <v>32</v>
      </c>
      <c r="D18" s="25">
        <f>D17/D16</f>
        <v>2</v>
      </c>
      <c r="H18" s="125" t="s">
        <v>141</v>
      </c>
      <c r="I18" s="126"/>
      <c r="J18" s="126"/>
      <c r="K18" s="126"/>
      <c r="L18" s="126"/>
      <c r="M18" s="127"/>
    </row>
    <row r="19" spans="2:13" x14ac:dyDescent="0.25">
      <c r="B19" s="22"/>
      <c r="C19" s="6" t="s">
        <v>51</v>
      </c>
      <c r="D19" s="36">
        <v>0.55000000000000004</v>
      </c>
      <c r="H19" s="77"/>
      <c r="I19" s="78"/>
      <c r="J19" s="78"/>
      <c r="K19" s="78"/>
      <c r="L19" s="78"/>
      <c r="M19" s="79"/>
    </row>
    <row r="20" spans="2:13" ht="21" x14ac:dyDescent="0.35">
      <c r="C20" s="6" t="s">
        <v>134</v>
      </c>
      <c r="D20" s="25">
        <f>D16*D19</f>
        <v>2.75</v>
      </c>
      <c r="H20" s="80"/>
      <c r="I20" s="78"/>
      <c r="J20" s="74" t="str">
        <f>IF(D7&gt;0,C7,IF(D8&gt;0,C8,IF(D9&gt;0,C9,0)))</f>
        <v>Comida Rápida</v>
      </c>
      <c r="K20" s="88">
        <f>(D27*D26)*D28*(D20*D18)*K15</f>
        <v>25435.666666666664</v>
      </c>
      <c r="L20" s="78"/>
      <c r="M20" s="79"/>
    </row>
    <row r="21" spans="2:13" ht="15.75" x14ac:dyDescent="0.25">
      <c r="H21" s="80"/>
      <c r="I21" s="78"/>
      <c r="J21" s="75" t="s">
        <v>42</v>
      </c>
      <c r="K21" s="81">
        <f>K20/K15</f>
        <v>1540</v>
      </c>
      <c r="L21" s="76" t="s">
        <v>43</v>
      </c>
      <c r="M21" s="79"/>
    </row>
    <row r="22" spans="2:13" ht="21" x14ac:dyDescent="0.35">
      <c r="B22" s="26">
        <v>3</v>
      </c>
      <c r="C22" s="21" t="s">
        <v>35</v>
      </c>
      <c r="H22" s="80"/>
      <c r="I22" s="78"/>
      <c r="J22" s="75" t="s">
        <v>42</v>
      </c>
      <c r="K22" s="81">
        <f>K21/D28</f>
        <v>385</v>
      </c>
      <c r="L22" s="76" t="s">
        <v>44</v>
      </c>
      <c r="M22" s="79"/>
    </row>
    <row r="23" spans="2:13" ht="21" x14ac:dyDescent="0.35">
      <c r="B23" s="20" t="s">
        <v>41</v>
      </c>
      <c r="D23" s="19"/>
      <c r="E23" s="19"/>
      <c r="H23" s="80"/>
      <c r="I23" s="78"/>
      <c r="J23" s="75" t="s">
        <v>42</v>
      </c>
      <c r="K23" s="81">
        <f>K22/D26</f>
        <v>55</v>
      </c>
      <c r="L23" s="76" t="s">
        <v>45</v>
      </c>
      <c r="M23" s="79"/>
    </row>
    <row r="24" spans="2:13" ht="15.75" x14ac:dyDescent="0.25">
      <c r="B24" s="20" t="s">
        <v>40</v>
      </c>
      <c r="H24" s="80"/>
      <c r="I24" s="78"/>
      <c r="J24" s="75" t="s">
        <v>42</v>
      </c>
      <c r="K24" s="81">
        <f>K23/D27</f>
        <v>5.5</v>
      </c>
      <c r="L24" s="76" t="s">
        <v>46</v>
      </c>
      <c r="M24" s="79"/>
    </row>
    <row r="25" spans="2:13" x14ac:dyDescent="0.25">
      <c r="H25" s="80"/>
      <c r="I25" s="78"/>
      <c r="J25" s="78"/>
      <c r="K25" s="78"/>
      <c r="L25" s="78"/>
      <c r="M25" s="79"/>
    </row>
    <row r="26" spans="2:13" ht="21" x14ac:dyDescent="0.35">
      <c r="C26" s="6" t="s">
        <v>49</v>
      </c>
      <c r="D26" s="34">
        <v>7</v>
      </c>
      <c r="H26" s="80"/>
      <c r="I26" s="78"/>
      <c r="J26" s="74" t="str">
        <f>J21</f>
        <v>Platos y Bebidas a vender</v>
      </c>
      <c r="K26" s="89">
        <f>K21</f>
        <v>1540</v>
      </c>
      <c r="L26" s="78"/>
      <c r="M26" s="79"/>
    </row>
    <row r="27" spans="2:13" ht="15.75" x14ac:dyDescent="0.25">
      <c r="C27" s="6" t="s">
        <v>50</v>
      </c>
      <c r="D27" s="34">
        <v>10</v>
      </c>
      <c r="H27" s="80"/>
      <c r="I27" s="78"/>
      <c r="J27" s="75" t="s">
        <v>47</v>
      </c>
      <c r="K27" s="81">
        <f>K21/$D$29</f>
        <v>3303.333333333333</v>
      </c>
      <c r="L27" s="76" t="s">
        <v>43</v>
      </c>
      <c r="M27" s="79"/>
    </row>
    <row r="28" spans="2:13" ht="15.75" x14ac:dyDescent="0.25">
      <c r="C28" s="6" t="s">
        <v>36</v>
      </c>
      <c r="D28" s="33">
        <v>4</v>
      </c>
      <c r="H28" s="80"/>
      <c r="I28" s="78"/>
      <c r="J28" s="75" t="s">
        <v>47</v>
      </c>
      <c r="K28" s="81">
        <f>K22/$D$29</f>
        <v>825.83333333333326</v>
      </c>
      <c r="L28" s="76" t="s">
        <v>44</v>
      </c>
      <c r="M28" s="79"/>
    </row>
    <row r="29" spans="2:13" ht="15.75" x14ac:dyDescent="0.25">
      <c r="C29" s="6" t="s">
        <v>48</v>
      </c>
      <c r="D29" s="28">
        <f>D10/K15</f>
        <v>0.46619576185671041</v>
      </c>
      <c r="H29" s="80"/>
      <c r="I29" s="78"/>
      <c r="J29" s="75" t="s">
        <v>47</v>
      </c>
      <c r="K29" s="81">
        <f>K23/$D$29</f>
        <v>117.97619047619047</v>
      </c>
      <c r="L29" s="76" t="s">
        <v>45</v>
      </c>
      <c r="M29" s="79"/>
    </row>
    <row r="30" spans="2:13" ht="15.75" x14ac:dyDescent="0.25">
      <c r="C30" s="6"/>
      <c r="H30" s="82"/>
      <c r="I30" s="83"/>
      <c r="J30" s="84" t="s">
        <v>47</v>
      </c>
      <c r="K30" s="85">
        <f>K24/$D$29</f>
        <v>11.797619047619047</v>
      </c>
      <c r="L30" s="86" t="s">
        <v>46</v>
      </c>
      <c r="M30" s="87"/>
    </row>
  </sheetData>
  <sheetProtection algorithmName="SHA-512" hashValue="Hv1dH0g5PDP0PJM1A1gKIhRDnSNdCbrWrNh5IChYy+x7dVTY9G3ZAILabQDeeTCqFs3W/YgF06uEIJM11Wi08A==" saltValue="zNwIpHj0rcx2X9tdYtjqWw==" spinCount="100000" sheet="1" objects="1" scenarios="1" selectLockedCells="1"/>
  <mergeCells count="2">
    <mergeCell ref="H18:M18"/>
    <mergeCell ref="H17:M1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showGridLines="0" showRowColHeaders="0" zoomScale="85" zoomScaleNormal="85" workbookViewId="0">
      <selection activeCell="G9" sqref="G9"/>
    </sheetView>
  </sheetViews>
  <sheetFormatPr baseColWidth="10" defaultRowHeight="15" x14ac:dyDescent="0.25"/>
  <cols>
    <col min="1" max="1" width="8.7109375" customWidth="1"/>
    <col min="2" max="2" width="11.5703125" customWidth="1"/>
    <col min="3" max="3" width="15.7109375" customWidth="1"/>
    <col min="4" max="4" width="9.7109375" customWidth="1"/>
    <col min="5" max="5" width="6.42578125" customWidth="1"/>
    <col min="6" max="6" width="62.42578125" customWidth="1"/>
    <col min="7" max="7" width="16.85546875" bestFit="1" customWidth="1"/>
    <col min="8" max="8" width="2" customWidth="1"/>
    <col min="11" max="14" width="15.7109375" customWidth="1"/>
    <col min="15" max="15" width="3.85546875" customWidth="1"/>
  </cols>
  <sheetData>
    <row r="1" spans="1:16" ht="26.25" x14ac:dyDescent="0.4">
      <c r="A1" s="91"/>
      <c r="B1" s="92" t="s">
        <v>143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6" ht="11.45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6" ht="21" x14ac:dyDescent="0.35">
      <c r="A3" s="91"/>
      <c r="B3" s="93">
        <v>1</v>
      </c>
      <c r="C3" s="94" t="s">
        <v>72</v>
      </c>
      <c r="D3" s="91"/>
      <c r="E3" s="91"/>
      <c r="F3" s="91"/>
      <c r="G3" s="91"/>
      <c r="H3" s="91"/>
      <c r="I3" s="135" t="s">
        <v>62</v>
      </c>
      <c r="J3" s="135"/>
      <c r="K3" s="135"/>
      <c r="L3" s="135"/>
      <c r="M3" s="135"/>
      <c r="N3" s="135"/>
      <c r="O3" s="135"/>
    </row>
    <row r="4" spans="1:16" x14ac:dyDescent="0.25">
      <c r="A4" s="91"/>
      <c r="B4" s="95" t="s">
        <v>59</v>
      </c>
      <c r="C4" s="91"/>
      <c r="D4" s="91"/>
      <c r="E4" s="91"/>
      <c r="F4" s="91"/>
      <c r="G4" s="91"/>
      <c r="H4" s="91"/>
      <c r="I4" s="96"/>
      <c r="J4" s="96"/>
      <c r="K4" s="96"/>
      <c r="L4" s="96"/>
      <c r="M4" s="96"/>
      <c r="N4" s="96"/>
      <c r="O4" s="96"/>
    </row>
    <row r="5" spans="1:16" ht="18.75" x14ac:dyDescent="0.3">
      <c r="A5" s="91"/>
      <c r="B5" s="95" t="s">
        <v>144</v>
      </c>
      <c r="C5" s="91"/>
      <c r="D5" s="91"/>
      <c r="E5" s="91"/>
      <c r="F5" s="91"/>
      <c r="G5" s="91"/>
      <c r="H5" s="91"/>
      <c r="I5" s="96"/>
      <c r="J5" s="97"/>
      <c r="K5" s="98" t="s">
        <v>18</v>
      </c>
      <c r="L5" s="98" t="s">
        <v>69</v>
      </c>
      <c r="M5" s="98" t="s">
        <v>70</v>
      </c>
      <c r="N5" s="98" t="s">
        <v>67</v>
      </c>
      <c r="O5" s="96"/>
    </row>
    <row r="6" spans="1:16" ht="18.75" x14ac:dyDescent="0.3">
      <c r="A6" s="91"/>
      <c r="B6" s="95" t="s">
        <v>145</v>
      </c>
      <c r="C6" s="91"/>
      <c r="D6" s="91"/>
      <c r="E6" s="91"/>
      <c r="F6" s="91"/>
      <c r="G6" s="91"/>
      <c r="H6" s="91"/>
      <c r="I6" s="96"/>
      <c r="J6" s="97" t="s">
        <v>63</v>
      </c>
      <c r="K6" s="99">
        <f>SUM(C21:C23)</f>
        <v>84785.555555555547</v>
      </c>
      <c r="L6" s="99">
        <f>SUM(K21:K23)</f>
        <v>33914.222222222226</v>
      </c>
      <c r="M6" s="99">
        <f>SUM(N21:N23)</f>
        <v>12717.833333333332</v>
      </c>
      <c r="N6" s="100">
        <f>K6-L6-M6</f>
        <v>38153.499999999985</v>
      </c>
      <c r="O6" s="96"/>
    </row>
    <row r="7" spans="1:16" ht="18.75" x14ac:dyDescent="0.3">
      <c r="A7" s="91"/>
      <c r="B7" s="95"/>
      <c r="C7" s="91"/>
      <c r="D7" s="91"/>
      <c r="E7" s="91"/>
      <c r="F7" s="91"/>
      <c r="G7" s="91"/>
      <c r="H7" s="91"/>
      <c r="I7" s="96"/>
      <c r="J7" s="97" t="s">
        <v>64</v>
      </c>
      <c r="K7" s="99">
        <f>SUM(C24:C26)</f>
        <v>93264.111111111109</v>
      </c>
      <c r="L7" s="99">
        <f>SUM(K24:K26)</f>
        <v>37305.644444444442</v>
      </c>
      <c r="M7" s="99">
        <f>SUM(N24:N26)</f>
        <v>13989.616666666665</v>
      </c>
      <c r="N7" s="100">
        <f t="shared" ref="N7:N9" si="0">K7-L7-M7</f>
        <v>41968.850000000006</v>
      </c>
      <c r="O7" s="96"/>
    </row>
    <row r="8" spans="1:16" ht="18.75" x14ac:dyDescent="0.3">
      <c r="A8" s="91"/>
      <c r="B8" s="91"/>
      <c r="C8" s="91"/>
      <c r="D8" s="91"/>
      <c r="E8" s="101" t="str">
        <f>'Multiplicando su Negocio'!J20</f>
        <v>Comida Rápida</v>
      </c>
      <c r="F8" s="102" t="s">
        <v>58</v>
      </c>
      <c r="G8" s="103">
        <f>'Multiplicando su Negocio'!K20</f>
        <v>25435.666666666664</v>
      </c>
      <c r="H8" s="104"/>
      <c r="I8" s="105"/>
      <c r="J8" s="97" t="s">
        <v>65</v>
      </c>
      <c r="K8" s="99">
        <f>SUM(C27:C29)</f>
        <v>97503.388888888876</v>
      </c>
      <c r="L8" s="99">
        <f>SUM(K27:K29)</f>
        <v>39001.35555555555</v>
      </c>
      <c r="M8" s="99">
        <f>SUM(N27:N29)</f>
        <v>14625.508333333331</v>
      </c>
      <c r="N8" s="100">
        <f t="shared" si="0"/>
        <v>43876.524999999994</v>
      </c>
      <c r="O8" s="96"/>
    </row>
    <row r="9" spans="1:16" ht="18.75" x14ac:dyDescent="0.3">
      <c r="A9" s="91"/>
      <c r="B9" s="91"/>
      <c r="C9" s="91"/>
      <c r="D9" s="91"/>
      <c r="E9" s="91"/>
      <c r="F9" s="106" t="s">
        <v>53</v>
      </c>
      <c r="G9" s="121" t="s">
        <v>19</v>
      </c>
      <c r="H9" s="107"/>
      <c r="I9" s="96"/>
      <c r="J9" s="97" t="s">
        <v>66</v>
      </c>
      <c r="K9" s="99">
        <f>SUM(C30:C32)</f>
        <v>118699.77777777775</v>
      </c>
      <c r="L9" s="99">
        <f>SUM(K30:K32)</f>
        <v>47479.911111111105</v>
      </c>
      <c r="M9" s="99">
        <f>SUM(N30:N32)</f>
        <v>17804.966666666664</v>
      </c>
      <c r="N9" s="100">
        <f t="shared" si="0"/>
        <v>53414.89999999998</v>
      </c>
      <c r="O9" s="96"/>
    </row>
    <row r="10" spans="1:16" ht="18" customHeight="1" x14ac:dyDescent="0.3">
      <c r="A10" s="91"/>
      <c r="B10" s="108"/>
      <c r="C10" s="108"/>
      <c r="D10" s="108"/>
      <c r="E10" s="108"/>
      <c r="F10" s="106" t="s">
        <v>54</v>
      </c>
      <c r="G10" s="121">
        <v>6</v>
      </c>
      <c r="H10" s="107"/>
      <c r="I10" s="96"/>
      <c r="J10" s="97" t="s">
        <v>68</v>
      </c>
      <c r="K10" s="109">
        <f>SUM(K6:K9)</f>
        <v>394252.83333333326</v>
      </c>
      <c r="L10" s="109">
        <f t="shared" ref="L10:N10" si="1">SUM(L6:L9)</f>
        <v>157701.13333333333</v>
      </c>
      <c r="M10" s="109">
        <f t="shared" si="1"/>
        <v>59137.924999999988</v>
      </c>
      <c r="N10" s="109">
        <f t="shared" si="1"/>
        <v>177413.77499999997</v>
      </c>
      <c r="O10" s="96"/>
      <c r="P10" s="27">
        <f>N10/K10</f>
        <v>0.45</v>
      </c>
    </row>
    <row r="11" spans="1:16" x14ac:dyDescent="0.25">
      <c r="A11" s="91"/>
      <c r="B11" s="91"/>
      <c r="C11" s="91"/>
      <c r="D11" s="91"/>
      <c r="E11" s="91"/>
      <c r="F11" s="106" t="s">
        <v>137</v>
      </c>
      <c r="G11" s="122" t="s">
        <v>146</v>
      </c>
      <c r="H11" s="110"/>
      <c r="I11" s="134" t="s">
        <v>93</v>
      </c>
      <c r="J11" s="134"/>
      <c r="K11" s="134"/>
      <c r="L11" s="134"/>
      <c r="M11" s="134"/>
      <c r="N11" s="134"/>
      <c r="O11" s="134"/>
    </row>
    <row r="12" spans="1:16" x14ac:dyDescent="0.25">
      <c r="A12" s="91"/>
      <c r="B12" s="91"/>
      <c r="C12" s="91"/>
      <c r="D12" s="91"/>
      <c r="E12" s="91"/>
      <c r="F12" s="91"/>
      <c r="G12" s="91"/>
      <c r="H12" s="91"/>
      <c r="I12" s="95"/>
      <c r="J12" s="91"/>
      <c r="K12" s="91"/>
      <c r="L12" s="91"/>
      <c r="M12" s="91"/>
      <c r="N12" s="91"/>
      <c r="O12" s="91"/>
    </row>
    <row r="13" spans="1:16" ht="21" x14ac:dyDescent="0.35">
      <c r="A13" s="91"/>
      <c r="B13" s="93">
        <v>2</v>
      </c>
      <c r="C13" s="94" t="s">
        <v>71</v>
      </c>
      <c r="D13" s="91"/>
      <c r="E13" s="91"/>
      <c r="F13" s="91"/>
      <c r="G13" s="91"/>
      <c r="H13" s="91"/>
      <c r="I13" s="93">
        <v>3</v>
      </c>
      <c r="J13" s="94" t="s">
        <v>73</v>
      </c>
      <c r="K13" s="94"/>
      <c r="L13" s="91"/>
      <c r="M13" s="91"/>
      <c r="N13" s="91"/>
      <c r="O13" s="91"/>
    </row>
    <row r="14" spans="1:16" ht="21" x14ac:dyDescent="0.35">
      <c r="A14" s="91"/>
      <c r="B14" s="95" t="s">
        <v>55</v>
      </c>
      <c r="C14" s="91"/>
      <c r="D14" s="111"/>
      <c r="E14" s="111"/>
      <c r="F14" s="91"/>
      <c r="G14" s="91"/>
      <c r="H14" s="91"/>
      <c r="I14" s="91"/>
      <c r="J14" s="95" t="s">
        <v>74</v>
      </c>
      <c r="K14" s="91"/>
      <c r="L14" s="91"/>
      <c r="M14" s="91"/>
      <c r="N14" s="91"/>
      <c r="O14" s="91"/>
    </row>
    <row r="15" spans="1:16" x14ac:dyDescent="0.25">
      <c r="A15" s="91"/>
      <c r="B15" s="95" t="s">
        <v>57</v>
      </c>
      <c r="C15" s="91"/>
      <c r="D15" s="91"/>
      <c r="E15" s="91"/>
      <c r="F15" s="91"/>
      <c r="G15" s="91"/>
      <c r="H15" s="91"/>
      <c r="I15" s="91"/>
      <c r="J15" s="95" t="s">
        <v>75</v>
      </c>
      <c r="K15" s="91"/>
      <c r="L15" s="91"/>
      <c r="M15" s="91"/>
      <c r="N15" s="91"/>
      <c r="O15" s="91"/>
    </row>
    <row r="16" spans="1:16" x14ac:dyDescent="0.25">
      <c r="A16" s="91"/>
      <c r="B16" s="91" t="s">
        <v>135</v>
      </c>
      <c r="C16" s="91"/>
      <c r="D16" s="91"/>
      <c r="E16" s="91"/>
      <c r="F16" s="91"/>
      <c r="G16" s="121" t="s">
        <v>27</v>
      </c>
      <c r="H16" s="107"/>
      <c r="I16" s="91"/>
      <c r="J16" s="91" t="s">
        <v>76</v>
      </c>
      <c r="K16" s="91"/>
      <c r="L16" s="91"/>
      <c r="M16" s="91" t="s">
        <v>79</v>
      </c>
      <c r="N16" s="91"/>
      <c r="O16" s="91"/>
    </row>
    <row r="17" spans="1:15" x14ac:dyDescent="0.25">
      <c r="A17" s="91"/>
      <c r="B17" s="91" t="s">
        <v>56</v>
      </c>
      <c r="C17" s="91"/>
      <c r="D17" s="91"/>
      <c r="E17" s="91"/>
      <c r="F17" s="91"/>
      <c r="G17" s="121">
        <v>10</v>
      </c>
      <c r="H17" s="107"/>
      <c r="I17" s="91"/>
      <c r="J17" s="91" t="s">
        <v>77</v>
      </c>
      <c r="K17" s="91"/>
      <c r="L17" s="91"/>
      <c r="M17" s="91" t="s">
        <v>77</v>
      </c>
      <c r="N17" s="91"/>
      <c r="O17" s="91"/>
    </row>
    <row r="18" spans="1:15" x14ac:dyDescent="0.25">
      <c r="A18" s="91"/>
      <c r="B18" s="91" t="s">
        <v>52</v>
      </c>
      <c r="C18" s="91"/>
      <c r="D18" s="91"/>
      <c r="E18" s="91"/>
      <c r="F18" s="91"/>
      <c r="G18" s="91"/>
      <c r="H18" s="91"/>
      <c r="I18" s="91"/>
      <c r="J18" s="91" t="s">
        <v>78</v>
      </c>
      <c r="K18" s="91"/>
      <c r="L18" s="91"/>
      <c r="M18" s="91" t="s">
        <v>78</v>
      </c>
      <c r="N18" s="91"/>
      <c r="O18" s="91"/>
    </row>
    <row r="19" spans="1:15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124">
        <v>0.4</v>
      </c>
      <c r="L19" s="91"/>
      <c r="M19" s="91"/>
      <c r="N19" s="124">
        <v>0.15</v>
      </c>
      <c r="O19" s="91"/>
    </row>
    <row r="20" spans="1:15" ht="15.75" x14ac:dyDescent="0.25">
      <c r="A20" s="91"/>
      <c r="B20" s="131" t="s">
        <v>11</v>
      </c>
      <c r="C20" s="133"/>
      <c r="D20" s="132"/>
      <c r="E20" s="91"/>
      <c r="F20" s="112" t="s">
        <v>136</v>
      </c>
      <c r="G20" s="91"/>
      <c r="H20" s="91"/>
      <c r="I20" s="91"/>
      <c r="J20" s="131" t="s">
        <v>60</v>
      </c>
      <c r="K20" s="132"/>
      <c r="L20" s="91"/>
      <c r="M20" s="131" t="s">
        <v>61</v>
      </c>
      <c r="N20" s="132"/>
      <c r="O20" s="91"/>
    </row>
    <row r="21" spans="1:15" ht="15.6" customHeight="1" x14ac:dyDescent="0.25">
      <c r="A21" s="91"/>
      <c r="B21" s="113" t="s">
        <v>13</v>
      </c>
      <c r="C21" s="114">
        <f>IF($G$16="Enero",'Multiplicando su Negocio'!$K$20*'Presupuesto Anual Franquicias'!D21/'Presupuesto Anual Franquicias'!$G$10,'Multiplicando su Negocio'!$K$20*'Presupuesto Anual Franquicias'!D21/'Presupuesto Anual Franquicias'!$G$10)</f>
        <v>25435.666666666668</v>
      </c>
      <c r="D21" s="115">
        <f>IF($G$16="Enero",$G$17,G21)</f>
        <v>6</v>
      </c>
      <c r="E21" s="91"/>
      <c r="F21" s="106" t="str">
        <f>B21</f>
        <v>Enero</v>
      </c>
      <c r="G21" s="123">
        <v>6</v>
      </c>
      <c r="H21" s="107"/>
      <c r="I21" s="91"/>
      <c r="J21" s="113" t="s">
        <v>13</v>
      </c>
      <c r="K21" s="116">
        <f>C21*$K$19</f>
        <v>10174.266666666668</v>
      </c>
      <c r="L21" s="91"/>
      <c r="M21" s="113" t="s">
        <v>13</v>
      </c>
      <c r="N21" s="116">
        <f>C21*$N$19</f>
        <v>3815.35</v>
      </c>
      <c r="O21" s="91"/>
    </row>
    <row r="22" spans="1:15" x14ac:dyDescent="0.25">
      <c r="A22" s="91"/>
      <c r="B22" s="113" t="s">
        <v>16</v>
      </c>
      <c r="C22" s="114">
        <f>IF($G$16="Febrero",'Multiplicando su Negocio'!$K$20*'Presupuesto Anual Franquicias'!D22/'Presupuesto Anual Franquicias'!$G$10,'Multiplicando su Negocio'!$K$20*'Presupuesto Anual Franquicias'!D22/'Presupuesto Anual Franquicias'!$G$10)</f>
        <v>29674.944444444442</v>
      </c>
      <c r="D22" s="115">
        <f>IF($G$16="Febrero",$G$17,G22)</f>
        <v>7</v>
      </c>
      <c r="E22" s="91"/>
      <c r="F22" s="106" t="str">
        <f t="shared" ref="F22:F32" si="2">B22</f>
        <v>Febrero</v>
      </c>
      <c r="G22" s="123">
        <v>7</v>
      </c>
      <c r="H22" s="107"/>
      <c r="I22" s="91"/>
      <c r="J22" s="113" t="s">
        <v>16</v>
      </c>
      <c r="K22" s="116">
        <f t="shared" ref="K22:K32" si="3">C22*$K$19</f>
        <v>11869.977777777778</v>
      </c>
      <c r="L22" s="91"/>
      <c r="M22" s="113" t="s">
        <v>16</v>
      </c>
      <c r="N22" s="116">
        <f t="shared" ref="N22:N32" si="4">C22*$N$19</f>
        <v>4451.2416666666659</v>
      </c>
      <c r="O22" s="91"/>
    </row>
    <row r="23" spans="1:15" x14ac:dyDescent="0.25">
      <c r="A23" s="91"/>
      <c r="B23" s="113" t="s">
        <v>17</v>
      </c>
      <c r="C23" s="114">
        <f>IF($G$16="Marzo",'Multiplicando su Negocio'!$K$20*'Presupuesto Anual Franquicias'!D23/'Presupuesto Anual Franquicias'!$G$10,'Multiplicando su Negocio'!$K$20*'Presupuesto Anual Franquicias'!D23/'Presupuesto Anual Franquicias'!$G$10)</f>
        <v>29674.944444444442</v>
      </c>
      <c r="D23" s="115">
        <f>IF($G$16="Marzo",$G$17,G23)</f>
        <v>7</v>
      </c>
      <c r="E23" s="91"/>
      <c r="F23" s="106" t="str">
        <f t="shared" si="2"/>
        <v>Marzo</v>
      </c>
      <c r="G23" s="123">
        <v>7</v>
      </c>
      <c r="H23" s="107"/>
      <c r="I23" s="91"/>
      <c r="J23" s="113" t="s">
        <v>17</v>
      </c>
      <c r="K23" s="116">
        <f t="shared" si="3"/>
        <v>11869.977777777778</v>
      </c>
      <c r="L23" s="91"/>
      <c r="M23" s="113" t="s">
        <v>17</v>
      </c>
      <c r="N23" s="116">
        <f t="shared" si="4"/>
        <v>4451.2416666666659</v>
      </c>
      <c r="O23" s="91"/>
    </row>
    <row r="24" spans="1:15" x14ac:dyDescent="0.25">
      <c r="A24" s="91"/>
      <c r="B24" s="113" t="s">
        <v>19</v>
      </c>
      <c r="C24" s="114">
        <f>IF($G$16="Abril",'Multiplicando su Negocio'!$K$20*'Presupuesto Anual Franquicias'!D24/'Presupuesto Anual Franquicias'!$G$10,'Multiplicando su Negocio'!$K$20*'Presupuesto Anual Franquicias'!D24/'Presupuesto Anual Franquicias'!$G$10)</f>
        <v>25435.666666666668</v>
      </c>
      <c r="D24" s="115">
        <f>IF($G$16="Abril",$G$17,G24)</f>
        <v>6</v>
      </c>
      <c r="E24" s="91"/>
      <c r="F24" s="106" t="str">
        <f t="shared" si="2"/>
        <v>Abril</v>
      </c>
      <c r="G24" s="123">
        <v>6</v>
      </c>
      <c r="H24" s="107"/>
      <c r="I24" s="91"/>
      <c r="J24" s="113" t="s">
        <v>19</v>
      </c>
      <c r="K24" s="116">
        <f t="shared" si="3"/>
        <v>10174.266666666668</v>
      </c>
      <c r="L24" s="91"/>
      <c r="M24" s="113" t="s">
        <v>19</v>
      </c>
      <c r="N24" s="116">
        <f t="shared" si="4"/>
        <v>3815.35</v>
      </c>
      <c r="O24" s="91"/>
    </row>
    <row r="25" spans="1:15" x14ac:dyDescent="0.25">
      <c r="A25" s="91"/>
      <c r="B25" s="113" t="s">
        <v>20</v>
      </c>
      <c r="C25" s="114">
        <f>IF($G$16="Mayo",'Multiplicando su Negocio'!$K$20*'Presupuesto Anual Franquicias'!D25/'Presupuesto Anual Franquicias'!$G$10,'Multiplicando su Negocio'!$K$20*'Presupuesto Anual Franquicias'!D25/'Presupuesto Anual Franquicias'!$G$10)</f>
        <v>33914.222222222219</v>
      </c>
      <c r="D25" s="115">
        <f>IF($G$16="Mayo",$G$17,G25)</f>
        <v>8</v>
      </c>
      <c r="E25" s="91"/>
      <c r="F25" s="106" t="str">
        <f t="shared" si="2"/>
        <v>Mayo</v>
      </c>
      <c r="G25" s="123">
        <v>8</v>
      </c>
      <c r="H25" s="107"/>
      <c r="I25" s="91"/>
      <c r="J25" s="113" t="s">
        <v>20</v>
      </c>
      <c r="K25" s="116">
        <f t="shared" si="3"/>
        <v>13565.688888888888</v>
      </c>
      <c r="L25" s="91"/>
      <c r="M25" s="113" t="s">
        <v>20</v>
      </c>
      <c r="N25" s="116">
        <f t="shared" si="4"/>
        <v>5087.1333333333323</v>
      </c>
      <c r="O25" s="91"/>
    </row>
    <row r="26" spans="1:15" x14ac:dyDescent="0.25">
      <c r="A26" s="91"/>
      <c r="B26" s="113" t="s">
        <v>21</v>
      </c>
      <c r="C26" s="114">
        <f>IF($G$16="Junio",'Multiplicando su Negocio'!$K$20*'Presupuesto Anual Franquicias'!D26/'Presupuesto Anual Franquicias'!$G$10,'Multiplicando su Negocio'!$K$20*'Presupuesto Anual Franquicias'!D26/'Presupuesto Anual Franquicias'!$G$10)</f>
        <v>33914.222222222219</v>
      </c>
      <c r="D26" s="115">
        <f>IF($G$16="Junio",$G$17,G26)</f>
        <v>8</v>
      </c>
      <c r="E26" s="91"/>
      <c r="F26" s="106" t="str">
        <f t="shared" si="2"/>
        <v>Junio</v>
      </c>
      <c r="G26" s="123">
        <v>8</v>
      </c>
      <c r="H26" s="107"/>
      <c r="I26" s="91"/>
      <c r="J26" s="113" t="s">
        <v>21</v>
      </c>
      <c r="K26" s="116">
        <f t="shared" si="3"/>
        <v>13565.688888888888</v>
      </c>
      <c r="L26" s="91"/>
      <c r="M26" s="113" t="s">
        <v>21</v>
      </c>
      <c r="N26" s="116">
        <f t="shared" si="4"/>
        <v>5087.1333333333323</v>
      </c>
      <c r="O26" s="91"/>
    </row>
    <row r="27" spans="1:15" x14ac:dyDescent="0.25">
      <c r="A27" s="91"/>
      <c r="B27" s="113" t="s">
        <v>22</v>
      </c>
      <c r="C27" s="114">
        <f>IF($G$16="Julio",'Multiplicando su Negocio'!$K$20*'Presupuesto Anual Franquicias'!D27/'Presupuesto Anual Franquicias'!$G$10,'Multiplicando su Negocio'!$K$20*'Presupuesto Anual Franquicias'!D27/'Presupuesto Anual Franquicias'!$G$10)</f>
        <v>33914.222222222219</v>
      </c>
      <c r="D27" s="115">
        <f>IF($G$16="Julio",$G$17,G27)</f>
        <v>8</v>
      </c>
      <c r="E27" s="91"/>
      <c r="F27" s="106" t="str">
        <f t="shared" si="2"/>
        <v>Julio</v>
      </c>
      <c r="G27" s="123">
        <v>8</v>
      </c>
      <c r="H27" s="107"/>
      <c r="I27" s="91"/>
      <c r="J27" s="113" t="s">
        <v>22</v>
      </c>
      <c r="K27" s="116">
        <f t="shared" si="3"/>
        <v>13565.688888888888</v>
      </c>
      <c r="L27" s="91"/>
      <c r="M27" s="113" t="s">
        <v>22</v>
      </c>
      <c r="N27" s="116">
        <f t="shared" si="4"/>
        <v>5087.1333333333323</v>
      </c>
      <c r="O27" s="91"/>
    </row>
    <row r="28" spans="1:15" x14ac:dyDescent="0.25">
      <c r="A28" s="91"/>
      <c r="B28" s="113" t="s">
        <v>23</v>
      </c>
      <c r="C28" s="114">
        <f>IF($G$16="Agosto",'Multiplicando su Negocio'!$K$20*'Presupuesto Anual Franquicias'!D28/'Presupuesto Anual Franquicias'!$G$10,'Multiplicando su Negocio'!$K$20*'Presupuesto Anual Franquicias'!D28/'Presupuesto Anual Franquicias'!$G$10)</f>
        <v>33914.222222222219</v>
      </c>
      <c r="D28" s="115">
        <f>IF($G$16="Agosto",$G$17,G28)</f>
        <v>8</v>
      </c>
      <c r="E28" s="91"/>
      <c r="F28" s="106" t="str">
        <f t="shared" si="2"/>
        <v>Agosto</v>
      </c>
      <c r="G28" s="123">
        <v>8</v>
      </c>
      <c r="H28" s="107"/>
      <c r="I28" s="91"/>
      <c r="J28" s="113" t="s">
        <v>23</v>
      </c>
      <c r="K28" s="116">
        <f t="shared" si="3"/>
        <v>13565.688888888888</v>
      </c>
      <c r="L28" s="91"/>
      <c r="M28" s="113" t="s">
        <v>23</v>
      </c>
      <c r="N28" s="116">
        <f t="shared" si="4"/>
        <v>5087.1333333333323</v>
      </c>
      <c r="O28" s="91"/>
    </row>
    <row r="29" spans="1:15" x14ac:dyDescent="0.25">
      <c r="A29" s="91"/>
      <c r="B29" s="113" t="s">
        <v>24</v>
      </c>
      <c r="C29" s="114">
        <f>IF($G$16="Septiembre",'Multiplicando su Negocio'!$K$20*'Presupuesto Anual Franquicias'!D29/'Presupuesto Anual Franquicias'!$G$10,'Multiplicando su Negocio'!$K$20*'Presupuesto Anual Franquicias'!D29/'Presupuesto Anual Franquicias'!$G$10)</f>
        <v>29674.944444444442</v>
      </c>
      <c r="D29" s="115">
        <f>IF($G$16="Septiembre",$G$17,G29)</f>
        <v>7</v>
      </c>
      <c r="E29" s="91"/>
      <c r="F29" s="106" t="str">
        <f t="shared" si="2"/>
        <v>Septiembre</v>
      </c>
      <c r="G29" s="123">
        <v>7</v>
      </c>
      <c r="H29" s="107"/>
      <c r="I29" s="91"/>
      <c r="J29" s="113" t="s">
        <v>24</v>
      </c>
      <c r="K29" s="116">
        <f t="shared" si="3"/>
        <v>11869.977777777778</v>
      </c>
      <c r="L29" s="91"/>
      <c r="M29" s="113" t="s">
        <v>24</v>
      </c>
      <c r="N29" s="116">
        <f t="shared" si="4"/>
        <v>4451.2416666666659</v>
      </c>
      <c r="O29" s="91"/>
    </row>
    <row r="30" spans="1:15" ht="14.45" customHeight="1" x14ac:dyDescent="0.25">
      <c r="A30" s="91"/>
      <c r="B30" s="113" t="s">
        <v>25</v>
      </c>
      <c r="C30" s="114">
        <f>IF($G$16="Octubre",'Multiplicando su Negocio'!$K$20*'Presupuesto Anual Franquicias'!D30/'Presupuesto Anual Franquicias'!$G$10,'Multiplicando su Negocio'!$K$20*'Presupuesto Anual Franquicias'!D30/'Presupuesto Anual Franquicias'!$G$10)</f>
        <v>38153.499999999993</v>
      </c>
      <c r="D30" s="115">
        <f>IF($G$16="Octubre",$G$17,G30)</f>
        <v>9</v>
      </c>
      <c r="E30" s="91"/>
      <c r="F30" s="106" t="str">
        <f t="shared" si="2"/>
        <v>Octubre</v>
      </c>
      <c r="G30" s="123">
        <v>9</v>
      </c>
      <c r="H30" s="107"/>
      <c r="I30" s="91"/>
      <c r="J30" s="113" t="s">
        <v>25</v>
      </c>
      <c r="K30" s="116">
        <f t="shared" si="3"/>
        <v>15261.399999999998</v>
      </c>
      <c r="L30" s="91"/>
      <c r="M30" s="113" t="s">
        <v>25</v>
      </c>
      <c r="N30" s="116">
        <f t="shared" si="4"/>
        <v>5723.0249999999987</v>
      </c>
      <c r="O30" s="91"/>
    </row>
    <row r="31" spans="1:15" x14ac:dyDescent="0.25">
      <c r="A31" s="91"/>
      <c r="B31" s="113" t="s">
        <v>26</v>
      </c>
      <c r="C31" s="114">
        <f>IF($G$16="Noviembre",'Multiplicando su Negocio'!$K$20*'Presupuesto Anual Franquicias'!D31/'Presupuesto Anual Franquicias'!$G$10,'Multiplicando su Negocio'!$K$20*'Presupuesto Anual Franquicias'!D31/'Presupuesto Anual Franquicias'!$G$10)</f>
        <v>38153.499999999993</v>
      </c>
      <c r="D31" s="115">
        <f>IF($G$16="Noviembre",$G$17,G31)</f>
        <v>9</v>
      </c>
      <c r="E31" s="91"/>
      <c r="F31" s="106" t="str">
        <f t="shared" si="2"/>
        <v>Noviembre</v>
      </c>
      <c r="G31" s="123">
        <v>9</v>
      </c>
      <c r="H31" s="107"/>
      <c r="I31" s="91"/>
      <c r="J31" s="113" t="s">
        <v>26</v>
      </c>
      <c r="K31" s="116">
        <f t="shared" si="3"/>
        <v>15261.399999999998</v>
      </c>
      <c r="L31" s="91"/>
      <c r="M31" s="113" t="s">
        <v>26</v>
      </c>
      <c r="N31" s="116">
        <f t="shared" si="4"/>
        <v>5723.0249999999987</v>
      </c>
      <c r="O31" s="91"/>
    </row>
    <row r="32" spans="1:15" x14ac:dyDescent="0.25">
      <c r="A32" s="91"/>
      <c r="B32" s="113" t="s">
        <v>27</v>
      </c>
      <c r="C32" s="114">
        <f>IF($G$16="Diciembre",'Multiplicando su Negocio'!$K$20*'Presupuesto Anual Franquicias'!D32/'Presupuesto Anual Franquicias'!$G$10,'Multiplicando su Negocio'!$K$20*'Presupuesto Anual Franquicias'!D32/'Presupuesto Anual Franquicias'!$G$10)</f>
        <v>42392.777777777774</v>
      </c>
      <c r="D32" s="115">
        <f>IF($G$16="Diciembre",$G$17,G32)</f>
        <v>10</v>
      </c>
      <c r="E32" s="91"/>
      <c r="F32" s="106" t="str">
        <f t="shared" si="2"/>
        <v>Diciembre</v>
      </c>
      <c r="G32" s="123">
        <v>10</v>
      </c>
      <c r="H32" s="107"/>
      <c r="I32" s="91"/>
      <c r="J32" s="113" t="s">
        <v>27</v>
      </c>
      <c r="K32" s="116">
        <f t="shared" si="3"/>
        <v>16957.111111111109</v>
      </c>
      <c r="L32" s="91"/>
      <c r="M32" s="113" t="s">
        <v>27</v>
      </c>
      <c r="N32" s="116">
        <f t="shared" si="4"/>
        <v>6358.9166666666661</v>
      </c>
      <c r="O32" s="91"/>
    </row>
    <row r="33" spans="1:15" x14ac:dyDescent="0.25">
      <c r="A33" s="91"/>
      <c r="B33" s="117" t="s">
        <v>28</v>
      </c>
      <c r="C33" s="118">
        <f>SUM(C21:C32)</f>
        <v>394252.83333333331</v>
      </c>
      <c r="D33" s="119">
        <v>1</v>
      </c>
      <c r="E33" s="91"/>
      <c r="F33" s="91"/>
      <c r="G33" s="91"/>
      <c r="H33" s="91"/>
      <c r="I33" s="91"/>
      <c r="J33" s="117" t="s">
        <v>28</v>
      </c>
      <c r="K33" s="120">
        <f>SUM(K21:K32)</f>
        <v>157701.13333333336</v>
      </c>
      <c r="L33" s="91"/>
      <c r="M33" s="117" t="s">
        <v>28</v>
      </c>
      <c r="N33" s="120">
        <f>SUM(N21:N32)</f>
        <v>59137.924999999996</v>
      </c>
      <c r="O33" s="91"/>
    </row>
  </sheetData>
  <sheetProtection algorithmName="SHA-512" hashValue="KQKeMyeS6iT/ityhQn0N2bobk770u1tMsSMjcbJYOr+mCHGuMnYNutGi5LC9Q8txYNVa/4+azMbktXqa58Coow==" saltValue="haIUJCqIe4pcSVWts+2mFg==" spinCount="100000" sheet="1" objects="1" scenarios="1" selectLockedCells="1"/>
  <mergeCells count="5">
    <mergeCell ref="J20:K20"/>
    <mergeCell ref="M20:N20"/>
    <mergeCell ref="B20:D20"/>
    <mergeCell ref="I11:O11"/>
    <mergeCell ref="I3:O3"/>
  </mergeCells>
  <dataValidations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="85" zoomScaleNormal="85" workbookViewId="0">
      <selection activeCell="K11" sqref="K11"/>
    </sheetView>
  </sheetViews>
  <sheetFormatPr baseColWidth="10" defaultRowHeight="15" x14ac:dyDescent="0.25"/>
  <cols>
    <col min="1" max="1" width="6.42578125" customWidth="1"/>
    <col min="2" max="2" width="7.42578125" customWidth="1"/>
    <col min="4" max="4" width="15.140625" customWidth="1"/>
    <col min="5" max="6" width="6.42578125" customWidth="1"/>
    <col min="7" max="7" width="3.42578125" customWidth="1"/>
    <col min="8" max="8" width="29.140625" customWidth="1"/>
    <col min="9" max="13" width="13.7109375" customWidth="1"/>
    <col min="14" max="14" width="13.7109375" hidden="1" customWidth="1"/>
    <col min="15" max="17" width="13.7109375" customWidth="1"/>
  </cols>
  <sheetData>
    <row r="1" spans="2:17" ht="26.25" x14ac:dyDescent="0.4">
      <c r="B1" s="141" t="str">
        <f>IF(Q7="SI","SU NEGOCIO PUEDE SER FRANQUICIADO","SU NEGOCIO NO PUEDE SER FRANQUICIADO")</f>
        <v>SU NEGOCIO PUEDE SER FRANQUICIADO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2:17" ht="7.9" customHeight="1" x14ac:dyDescent="0.25"/>
    <row r="3" spans="2:17" ht="21" x14ac:dyDescent="0.35">
      <c r="B3" s="26">
        <v>1</v>
      </c>
      <c r="C3" s="21" t="s">
        <v>94</v>
      </c>
      <c r="I3" s="26">
        <v>2</v>
      </c>
      <c r="J3" s="21" t="s">
        <v>95</v>
      </c>
      <c r="O3" s="21" t="s">
        <v>108</v>
      </c>
      <c r="P3" s="21"/>
      <c r="Q3" s="21"/>
    </row>
    <row r="4" spans="2:17" x14ac:dyDescent="0.25">
      <c r="B4" s="20" t="s">
        <v>138</v>
      </c>
      <c r="I4" s="20" t="s">
        <v>116</v>
      </c>
      <c r="O4" s="38" t="str">
        <f>IF((L21/L17)&gt;15%,"Su negocio SI PUEDE SER FRANQUICIABLE.","Su negocio NO PUEDE SER FRANQUICIABLE.")</f>
        <v>Su negocio SI PUEDE SER FRANQUICIABLE.</v>
      </c>
    </row>
    <row r="5" spans="2:17" x14ac:dyDescent="0.25">
      <c r="I5" s="20" t="s">
        <v>118</v>
      </c>
      <c r="O5" s="38" t="str">
        <f>IF((L21/L17)&gt;15%,"Ventajas competitivas a multiplicar:","Lo que debemos analizar:")</f>
        <v>Ventajas competitivas a multiplicar:</v>
      </c>
    </row>
    <row r="6" spans="2:17" ht="15.75" x14ac:dyDescent="0.25">
      <c r="C6" s="142" t="s">
        <v>11</v>
      </c>
      <c r="D6" s="143"/>
      <c r="E6" s="143"/>
      <c r="F6" s="144"/>
      <c r="G6" s="54"/>
      <c r="I6" s="20" t="s">
        <v>117</v>
      </c>
    </row>
    <row r="7" spans="2:17" x14ac:dyDescent="0.25">
      <c r="C7" s="14" t="s">
        <v>13</v>
      </c>
      <c r="D7" s="5">
        <f>'Presupuesto Anual Franquicias'!C21</f>
        <v>25435.666666666668</v>
      </c>
      <c r="E7" s="15">
        <f>'Presupuesto Anual Franquicias'!D21</f>
        <v>6</v>
      </c>
      <c r="F7" s="136" t="s">
        <v>14</v>
      </c>
      <c r="G7" s="55"/>
      <c r="O7" s="39"/>
      <c r="P7" s="40" t="s">
        <v>119</v>
      </c>
      <c r="Q7" s="50" t="str">
        <f>IF((L21/L17)&gt;15%,"SI","NO")</f>
        <v>SI</v>
      </c>
    </row>
    <row r="8" spans="2:17" x14ac:dyDescent="0.25">
      <c r="C8" s="14" t="s">
        <v>16</v>
      </c>
      <c r="D8" s="5">
        <f>'Presupuesto Anual Franquicias'!C22</f>
        <v>29674.944444444442</v>
      </c>
      <c r="E8" s="15">
        <f>'Presupuesto Anual Franquicias'!D22</f>
        <v>7</v>
      </c>
      <c r="F8" s="136"/>
      <c r="G8" s="55"/>
      <c r="J8" s="138" t="s">
        <v>8</v>
      </c>
      <c r="K8" s="139"/>
      <c r="L8" s="140"/>
      <c r="O8" s="41"/>
      <c r="P8" s="42" t="s">
        <v>100</v>
      </c>
      <c r="Q8" s="43">
        <f>J30</f>
        <v>25.3061482168625</v>
      </c>
    </row>
    <row r="9" spans="2:17" x14ac:dyDescent="0.25">
      <c r="C9" s="14" t="s">
        <v>17</v>
      </c>
      <c r="D9" s="5">
        <f>'Presupuesto Anual Franquicias'!C23</f>
        <v>29674.944444444442</v>
      </c>
      <c r="E9" s="15">
        <f>'Presupuesto Anual Franquicias'!D23</f>
        <v>7</v>
      </c>
      <c r="F9" s="136"/>
      <c r="G9" s="55"/>
      <c r="J9" s="7" t="s">
        <v>0</v>
      </c>
      <c r="K9" s="8" t="s">
        <v>1</v>
      </c>
      <c r="L9" s="9" t="s">
        <v>2</v>
      </c>
      <c r="O9" s="41"/>
      <c r="P9" s="42" t="s">
        <v>101</v>
      </c>
      <c r="Q9" s="43">
        <f>J31</f>
        <v>5.5</v>
      </c>
    </row>
    <row r="10" spans="2:17" x14ac:dyDescent="0.25">
      <c r="C10" s="14" t="s">
        <v>19</v>
      </c>
      <c r="D10" s="5">
        <f>'Presupuesto Anual Franquicias'!C24</f>
        <v>25435.666666666668</v>
      </c>
      <c r="E10" s="15">
        <f>'Presupuesto Anual Franquicias'!D24</f>
        <v>6</v>
      </c>
      <c r="F10" s="136"/>
      <c r="G10" s="55"/>
      <c r="J10" s="32">
        <f>'Multiplicando su Negocio'!D19</f>
        <v>0.55000000000000004</v>
      </c>
      <c r="K10" s="10">
        <f>+J10+$K$11</f>
        <v>0.65</v>
      </c>
      <c r="L10" s="11">
        <f>+K10+$K$11</f>
        <v>0.75</v>
      </c>
      <c r="O10" s="41"/>
      <c r="P10" s="42" t="s">
        <v>102</v>
      </c>
      <c r="Q10" s="43">
        <f>J34</f>
        <v>20</v>
      </c>
    </row>
    <row r="11" spans="2:17" x14ac:dyDescent="0.25">
      <c r="C11" s="14" t="s">
        <v>20</v>
      </c>
      <c r="D11" s="5">
        <f>'Presupuesto Anual Franquicias'!C25</f>
        <v>33914.222222222219</v>
      </c>
      <c r="E11" s="15">
        <f>'Presupuesto Anual Franquicias'!D25</f>
        <v>8</v>
      </c>
      <c r="F11" s="136"/>
      <c r="G11" s="55"/>
      <c r="J11" s="12" t="s">
        <v>9</v>
      </c>
      <c r="K11" s="37">
        <v>0.1</v>
      </c>
      <c r="L11" s="13"/>
      <c r="O11" s="41"/>
      <c r="P11" s="42" t="s">
        <v>104</v>
      </c>
      <c r="Q11" s="24">
        <f>J20</f>
        <v>90.841666666666669</v>
      </c>
    </row>
    <row r="12" spans="2:17" x14ac:dyDescent="0.25">
      <c r="C12" s="14" t="s">
        <v>21</v>
      </c>
      <c r="D12" s="5">
        <f>'Presupuesto Anual Franquicias'!C26</f>
        <v>33914.222222222219</v>
      </c>
      <c r="E12" s="15">
        <f>'Presupuesto Anual Franquicias'!D26</f>
        <v>8</v>
      </c>
      <c r="F12" s="136"/>
      <c r="G12" s="55"/>
      <c r="O12" s="41"/>
      <c r="P12" s="42" t="s">
        <v>103</v>
      </c>
      <c r="Q12" s="43">
        <f>J26</f>
        <v>11.797619047619047</v>
      </c>
    </row>
    <row r="13" spans="2:17" x14ac:dyDescent="0.25">
      <c r="C13" s="14" t="s">
        <v>22</v>
      </c>
      <c r="D13" s="5">
        <f>'Presupuesto Anual Franquicias'!C27</f>
        <v>33914.222222222219</v>
      </c>
      <c r="E13" s="15">
        <f>'Presupuesto Anual Franquicias'!D27</f>
        <v>8</v>
      </c>
      <c r="F13" s="136"/>
      <c r="G13" s="55"/>
      <c r="I13" s="20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41"/>
      <c r="P13" s="42" t="s">
        <v>105</v>
      </c>
      <c r="Q13" s="24">
        <f>Q11*E34</f>
        <v>40.878750000000004</v>
      </c>
    </row>
    <row r="14" spans="2:17" ht="18.75" x14ac:dyDescent="0.3">
      <c r="C14" s="14" t="s">
        <v>23</v>
      </c>
      <c r="D14" s="5">
        <f>'Presupuesto Anual Franquicias'!C28</f>
        <v>33914.222222222219</v>
      </c>
      <c r="E14" s="15">
        <f>'Presupuesto Anual Franquicias'!D28</f>
        <v>8</v>
      </c>
      <c r="F14" s="136"/>
      <c r="G14" s="55"/>
      <c r="J14" s="137" t="s">
        <v>80</v>
      </c>
      <c r="K14" s="137"/>
      <c r="L14" s="137"/>
      <c r="O14" s="41"/>
      <c r="P14" s="42" t="s">
        <v>106</v>
      </c>
      <c r="Q14" s="44">
        <f>Q13/Q11</f>
        <v>0.45</v>
      </c>
    </row>
    <row r="15" spans="2:17" x14ac:dyDescent="0.25">
      <c r="C15" s="14" t="s">
        <v>24</v>
      </c>
      <c r="D15" s="5">
        <f>'Presupuesto Anual Franquicias'!C29</f>
        <v>29674.944444444442</v>
      </c>
      <c r="E15" s="15">
        <f>'Presupuesto Anual Franquicias'!D29</f>
        <v>7</v>
      </c>
      <c r="F15" s="136"/>
      <c r="G15" s="55"/>
      <c r="J15" s="145" t="s">
        <v>139</v>
      </c>
      <c r="K15" s="145"/>
      <c r="L15" s="145"/>
      <c r="O15" s="41"/>
      <c r="P15" s="42" t="s">
        <v>107</v>
      </c>
      <c r="Q15" s="45">
        <v>0.17499999999999999</v>
      </c>
    </row>
    <row r="16" spans="2:17" x14ac:dyDescent="0.25">
      <c r="C16" s="14" t="s">
        <v>25</v>
      </c>
      <c r="D16" s="5">
        <f>'Presupuesto Anual Franquicias'!C30</f>
        <v>38153.499999999993</v>
      </c>
      <c r="E16" s="15">
        <f>'Presupuesto Anual Franquicias'!D30</f>
        <v>9</v>
      </c>
      <c r="F16" s="136"/>
      <c r="G16" s="55"/>
      <c r="J16" s="1" t="s">
        <v>0</v>
      </c>
      <c r="K16" s="2" t="s">
        <v>1</v>
      </c>
      <c r="L16" s="3" t="s">
        <v>2</v>
      </c>
      <c r="N16" s="2" t="s">
        <v>132</v>
      </c>
      <c r="O16" s="46"/>
      <c r="P16" s="47" t="str">
        <f>IF(Q14&gt;Q15,"Por arriba de la Industria:","Por debajo de la Industria:")</f>
        <v>Por arriba de la Industria:</v>
      </c>
      <c r="Q16" s="51">
        <f>Q14-Q15</f>
        <v>0.27500000000000002</v>
      </c>
    </row>
    <row r="17" spans="3:17" x14ac:dyDescent="0.25">
      <c r="C17" s="14" t="s">
        <v>26</v>
      </c>
      <c r="D17" s="5">
        <f>'Presupuesto Anual Franquicias'!C31</f>
        <v>38153.499999999993</v>
      </c>
      <c r="E17" s="15">
        <f>'Presupuesto Anual Franquicias'!D31</f>
        <v>9</v>
      </c>
      <c r="F17" s="136"/>
      <c r="G17" s="55"/>
      <c r="H17" s="68"/>
      <c r="I17" s="69" t="s">
        <v>96</v>
      </c>
      <c r="J17" s="70">
        <f>MIN('Presupuesto Anual Franquicias'!$C$21:$C$32)</f>
        <v>25435.666666666668</v>
      </c>
      <c r="K17" s="70">
        <f>AVERAGE(J17,L17)</f>
        <v>33914.222222222219</v>
      </c>
      <c r="L17" s="70">
        <f>MAX('Presupuesto Anual Franquicias'!$C$21:$C$32)</f>
        <v>42392.777777777774</v>
      </c>
      <c r="N17" s="5">
        <f>N18*'Multiplicando su Negocio'!D28</f>
        <v>25435.666666666668</v>
      </c>
    </row>
    <row r="18" spans="3:17" ht="21" x14ac:dyDescent="0.35">
      <c r="C18" s="71" t="s">
        <v>27</v>
      </c>
      <c r="D18" s="72">
        <f>'Presupuesto Anual Franquicias'!C32</f>
        <v>42392.777777777774</v>
      </c>
      <c r="E18" s="73">
        <f>'Presupuesto Anual Franquicias'!D32</f>
        <v>10</v>
      </c>
      <c r="F18" s="136"/>
      <c r="G18" s="55"/>
      <c r="H18" s="68"/>
      <c r="I18" s="69" t="s">
        <v>97</v>
      </c>
      <c r="J18" s="70">
        <f>J19*'Multiplicando su Negocio'!$D$26</f>
        <v>6358.916666666667</v>
      </c>
      <c r="K18" s="70">
        <f>K19*'Multiplicando su Negocio'!$D$26</f>
        <v>8478.5555555555547</v>
      </c>
      <c r="L18" s="70">
        <f>L19*'Multiplicando su Negocio'!$D$26</f>
        <v>10598.194444444445</v>
      </c>
      <c r="N18" s="5">
        <f>N19*'Multiplicando su Negocio'!D26</f>
        <v>6358.916666666667</v>
      </c>
      <c r="O18" s="21" t="s">
        <v>115</v>
      </c>
      <c r="P18" s="21"/>
      <c r="Q18" s="21"/>
    </row>
    <row r="19" spans="3:17" x14ac:dyDescent="0.25">
      <c r="C19" s="16" t="s">
        <v>28</v>
      </c>
      <c r="D19" s="17">
        <f>SUM(D7:D18)</f>
        <v>394252.83333333331</v>
      </c>
      <c r="E19" s="18">
        <v>1</v>
      </c>
      <c r="F19" s="31"/>
      <c r="G19" s="56"/>
      <c r="H19" s="68"/>
      <c r="I19" s="69" t="s">
        <v>98</v>
      </c>
      <c r="J19" s="70">
        <f>J20*'Multiplicando su Negocio'!$D$27</f>
        <v>908.41666666666674</v>
      </c>
      <c r="K19" s="70">
        <f>K20*'Multiplicando su Negocio'!$D$27</f>
        <v>1211.2222222222222</v>
      </c>
      <c r="L19" s="70">
        <f>L20*'Multiplicando su Negocio'!$D$27</f>
        <v>1514.0277777777778</v>
      </c>
      <c r="N19" s="5">
        <f>J20*'Multiplicando su Negocio'!D27</f>
        <v>908.41666666666674</v>
      </c>
      <c r="O19" s="20" t="s">
        <v>120</v>
      </c>
      <c r="P19" s="38"/>
    </row>
    <row r="20" spans="3:17" x14ac:dyDescent="0.25">
      <c r="H20" s="68"/>
      <c r="I20" s="69" t="s">
        <v>99</v>
      </c>
      <c r="J20" s="70">
        <f>J22*J26</f>
        <v>90.841666666666669</v>
      </c>
      <c r="K20" s="70">
        <f>K22*K26</f>
        <v>121.12222222222222</v>
      </c>
      <c r="L20" s="70">
        <f>L22*L26</f>
        <v>151.40277777777777</v>
      </c>
      <c r="N20" s="5">
        <f>N19/'Multiplicando su Negocio'!D27</f>
        <v>90.841666666666669</v>
      </c>
      <c r="O20" s="20" t="s">
        <v>121</v>
      </c>
    </row>
    <row r="21" spans="3:17" ht="15.75" x14ac:dyDescent="0.25">
      <c r="C21" s="142" t="s">
        <v>12</v>
      </c>
      <c r="D21" s="143"/>
      <c r="E21" s="143"/>
      <c r="F21" s="144"/>
      <c r="G21" s="54"/>
      <c r="H21" s="60"/>
      <c r="I21" s="59" t="s">
        <v>4</v>
      </c>
      <c r="J21" s="61">
        <f>+J17*'Presupuesto Anual Franquicias'!$P$10</f>
        <v>11446.050000000001</v>
      </c>
      <c r="K21" s="61">
        <f>+K17*'Presupuesto Anual Franquicias'!$P$10</f>
        <v>15261.4</v>
      </c>
      <c r="L21" s="61">
        <f>+L17*'Presupuesto Anual Franquicias'!$P$10</f>
        <v>19076.75</v>
      </c>
      <c r="O21" s="39"/>
      <c r="P21" s="40" t="s">
        <v>113</v>
      </c>
      <c r="Q21" s="48">
        <v>0.7</v>
      </c>
    </row>
    <row r="22" spans="3:17" ht="14.45" customHeight="1" x14ac:dyDescent="0.25">
      <c r="C22" s="14" t="s">
        <v>13</v>
      </c>
      <c r="D22" s="5">
        <f>D7*$E$34</f>
        <v>11446.050000000001</v>
      </c>
      <c r="E22" s="15">
        <f t="shared" ref="E22:E33" si="0">E7</f>
        <v>6</v>
      </c>
      <c r="F22" s="136" t="s">
        <v>15</v>
      </c>
      <c r="G22" s="55"/>
      <c r="H22" s="60"/>
      <c r="I22" s="59" t="s">
        <v>6</v>
      </c>
      <c r="J22" s="61">
        <f>'Multiplicando su Negocio'!$D$10</f>
        <v>7.7</v>
      </c>
      <c r="K22" s="61">
        <f>+J22</f>
        <v>7.7</v>
      </c>
      <c r="L22" s="61">
        <f>+K22</f>
        <v>7.7</v>
      </c>
      <c r="O22" s="41"/>
      <c r="P22" s="42" t="s">
        <v>109</v>
      </c>
      <c r="Q22" s="24">
        <f>AVERAGE(J17:L17)*Q21</f>
        <v>23739.955555555553</v>
      </c>
    </row>
    <row r="23" spans="3:17" x14ac:dyDescent="0.25">
      <c r="C23" s="14" t="s">
        <v>16</v>
      </c>
      <c r="D23" s="5">
        <f t="shared" ref="D23:D33" si="1">D8*$E$34</f>
        <v>13353.724999999999</v>
      </c>
      <c r="E23" s="15">
        <f t="shared" si="0"/>
        <v>7</v>
      </c>
      <c r="F23" s="136"/>
      <c r="G23" s="55"/>
      <c r="H23" s="52"/>
      <c r="I23" s="53" t="s">
        <v>122</v>
      </c>
      <c r="J23" s="57">
        <f>J17/J22</f>
        <v>3303.3333333333335</v>
      </c>
      <c r="K23" s="57">
        <f>K17/K22</f>
        <v>4404.4444444444443</v>
      </c>
      <c r="L23" s="57">
        <f>L17/L22</f>
        <v>5505.5555555555547</v>
      </c>
      <c r="N23" s="5"/>
      <c r="O23" s="41"/>
      <c r="P23" s="42" t="s">
        <v>111</v>
      </c>
      <c r="Q23" s="11">
        <v>0.05</v>
      </c>
    </row>
    <row r="24" spans="3:17" x14ac:dyDescent="0.25">
      <c r="C24" s="14" t="s">
        <v>17</v>
      </c>
      <c r="D24" s="5">
        <f t="shared" si="1"/>
        <v>13353.724999999999</v>
      </c>
      <c r="E24" s="15">
        <f t="shared" si="0"/>
        <v>7</v>
      </c>
      <c r="F24" s="136"/>
      <c r="G24" s="55"/>
      <c r="H24" s="52"/>
      <c r="I24" s="53" t="s">
        <v>123</v>
      </c>
      <c r="J24" s="57">
        <f>J23/'Multiplicando su Negocio'!$D$28</f>
        <v>825.83333333333337</v>
      </c>
      <c r="K24" s="57">
        <f>K23/'Multiplicando su Negocio'!$D$28</f>
        <v>1101.1111111111111</v>
      </c>
      <c r="L24" s="57">
        <f>L23/'Multiplicando su Negocio'!$D$28</f>
        <v>1376.3888888888887</v>
      </c>
      <c r="N24" s="5">
        <f>J23*$J$22</f>
        <v>25435.666666666668</v>
      </c>
      <c r="O24" s="41"/>
      <c r="P24" s="42" t="s">
        <v>110</v>
      </c>
      <c r="Q24" s="24">
        <f>Q22*Q23</f>
        <v>1186.9977777777776</v>
      </c>
    </row>
    <row r="25" spans="3:17" x14ac:dyDescent="0.25">
      <c r="C25" s="14" t="s">
        <v>19</v>
      </c>
      <c r="D25" s="5">
        <f t="shared" si="1"/>
        <v>11446.050000000001</v>
      </c>
      <c r="E25" s="15">
        <f t="shared" si="0"/>
        <v>6</v>
      </c>
      <c r="F25" s="136"/>
      <c r="G25" s="55"/>
      <c r="H25" s="52"/>
      <c r="I25" s="53" t="s">
        <v>124</v>
      </c>
      <c r="J25" s="57">
        <f>J24/'Multiplicando su Negocio'!$D$26</f>
        <v>117.97619047619048</v>
      </c>
      <c r="K25" s="57">
        <f>K24/'Multiplicando su Negocio'!$D$26</f>
        <v>157.30158730158729</v>
      </c>
      <c r="L25" s="57">
        <f>L24/'Multiplicando su Negocio'!$D$26</f>
        <v>196.6269841269841</v>
      </c>
      <c r="N25" s="5">
        <f>J24*$J$22</f>
        <v>6358.916666666667</v>
      </c>
      <c r="O25" s="41"/>
      <c r="P25" s="42" t="s">
        <v>112</v>
      </c>
      <c r="Q25" s="43">
        <v>15</v>
      </c>
    </row>
    <row r="26" spans="3:17" x14ac:dyDescent="0.25">
      <c r="C26" s="14" t="s">
        <v>20</v>
      </c>
      <c r="D26" s="5">
        <f t="shared" si="1"/>
        <v>15261.4</v>
      </c>
      <c r="E26" s="15">
        <f t="shared" si="0"/>
        <v>8</v>
      </c>
      <c r="F26" s="136"/>
      <c r="G26" s="55"/>
      <c r="H26" s="52"/>
      <c r="I26" s="53" t="s">
        <v>125</v>
      </c>
      <c r="J26" s="57">
        <f>J25/'Multiplicando su Negocio'!$D$27</f>
        <v>11.797619047619047</v>
      </c>
      <c r="K26" s="57">
        <f>K25/'Multiplicando su Negocio'!$D$27</f>
        <v>15.730158730158729</v>
      </c>
      <c r="L26" s="57">
        <f>L25/'Multiplicando su Negocio'!$D$27</f>
        <v>19.662698412698411</v>
      </c>
      <c r="N26" s="5">
        <f>J25*$J$22</f>
        <v>908.41666666666674</v>
      </c>
      <c r="O26" s="46"/>
      <c r="P26" s="47" t="s">
        <v>114</v>
      </c>
      <c r="Q26" s="49">
        <f>Q24*Q25</f>
        <v>17804.966666666664</v>
      </c>
    </row>
    <row r="27" spans="3:17" x14ac:dyDescent="0.25">
      <c r="C27" s="14" t="s">
        <v>21</v>
      </c>
      <c r="D27" s="5">
        <f t="shared" si="1"/>
        <v>15261.4</v>
      </c>
      <c r="E27" s="15">
        <f t="shared" si="0"/>
        <v>8</v>
      </c>
      <c r="F27" s="136"/>
      <c r="G27" s="55"/>
      <c r="H27" s="63"/>
      <c r="I27" s="62" t="s">
        <v>127</v>
      </c>
      <c r="J27" s="64">
        <f>J28*'Multiplicando su Negocio'!$D$28</f>
        <v>7085.7215007215</v>
      </c>
      <c r="K27" s="64">
        <f>K28*'Multiplicando su Negocio'!$D$28</f>
        <v>9447.6286676286654</v>
      </c>
      <c r="L27" s="64">
        <f>L28*'Multiplicando su Negocio'!$D$28</f>
        <v>11809.535834535833</v>
      </c>
      <c r="N27" s="5">
        <f>J26*$J$22</f>
        <v>90.841666666666669</v>
      </c>
    </row>
    <row r="28" spans="3:17" x14ac:dyDescent="0.25">
      <c r="C28" s="14" t="s">
        <v>22</v>
      </c>
      <c r="D28" s="5">
        <f t="shared" si="1"/>
        <v>15261.4</v>
      </c>
      <c r="E28" s="15">
        <f t="shared" si="0"/>
        <v>8</v>
      </c>
      <c r="F28" s="136"/>
      <c r="G28" s="55"/>
      <c r="H28" s="63"/>
      <c r="I28" s="62" t="s">
        <v>128</v>
      </c>
      <c r="J28" s="64">
        <f>J29*'Multiplicando su Negocio'!$D$26</f>
        <v>1771.430375180375</v>
      </c>
      <c r="K28" s="64">
        <f>K29*'Multiplicando su Negocio'!$D$26</f>
        <v>2361.9071669071664</v>
      </c>
      <c r="L28" s="64">
        <f>L29*'Multiplicando su Negocio'!$D$26</f>
        <v>2952.3839586339582</v>
      </c>
      <c r="N28" s="5">
        <f>(J27*$J$22)*'Multiplicando su Negocio'!$D$29</f>
        <v>25435.666666666664</v>
      </c>
    </row>
    <row r="29" spans="3:17" x14ac:dyDescent="0.25">
      <c r="C29" s="14" t="s">
        <v>23</v>
      </c>
      <c r="D29" s="5">
        <f t="shared" si="1"/>
        <v>15261.4</v>
      </c>
      <c r="E29" s="15">
        <f t="shared" si="0"/>
        <v>8</v>
      </c>
      <c r="F29" s="136"/>
      <c r="G29" s="55"/>
      <c r="H29" s="63"/>
      <c r="I29" s="62" t="s">
        <v>129</v>
      </c>
      <c r="J29" s="64">
        <f>J30*'Multiplicando su Negocio'!$D$27</f>
        <v>253.06148216862499</v>
      </c>
      <c r="K29" s="64">
        <f>K30*'Multiplicando su Negocio'!$D$27</f>
        <v>337.41530955816665</v>
      </c>
      <c r="L29" s="64">
        <f>L30*'Multiplicando su Negocio'!$D$27</f>
        <v>421.76913694770832</v>
      </c>
      <c r="N29" s="5">
        <f>(J28*$J$22)*'Multiplicando su Negocio'!$D$29</f>
        <v>6358.9166666666661</v>
      </c>
    </row>
    <row r="30" spans="3:17" x14ac:dyDescent="0.25">
      <c r="C30" s="14" t="s">
        <v>24</v>
      </c>
      <c r="D30" s="5">
        <f t="shared" si="1"/>
        <v>13353.724999999999</v>
      </c>
      <c r="E30" s="15">
        <f t="shared" si="0"/>
        <v>7</v>
      </c>
      <c r="F30" s="136"/>
      <c r="G30" s="55"/>
      <c r="H30" s="63"/>
      <c r="I30" s="62" t="s">
        <v>130</v>
      </c>
      <c r="J30" s="64">
        <f>J26/'Multiplicando su Negocio'!$D$29</f>
        <v>25.3061482168625</v>
      </c>
      <c r="K30" s="64">
        <f>K26/'Multiplicando su Negocio'!$D$29</f>
        <v>33.741530955816664</v>
      </c>
      <c r="L30" s="64">
        <f>L26/'Multiplicando su Negocio'!$D$29</f>
        <v>42.176913694770832</v>
      </c>
      <c r="N30" s="5">
        <f>(J29*$J$22)*'Multiplicando su Negocio'!$D$29</f>
        <v>908.41666666666663</v>
      </c>
    </row>
    <row r="31" spans="3:17" x14ac:dyDescent="0.25">
      <c r="C31" s="14" t="s">
        <v>25</v>
      </c>
      <c r="D31" s="5">
        <f t="shared" si="1"/>
        <v>17169.074999999997</v>
      </c>
      <c r="E31" s="15">
        <f t="shared" si="0"/>
        <v>9</v>
      </c>
      <c r="F31" s="136"/>
      <c r="G31" s="55"/>
      <c r="H31" s="66"/>
      <c r="I31" s="58" t="s">
        <v>126</v>
      </c>
      <c r="J31" s="65">
        <f>J26*'Multiplicando su Negocio'!$D$29</f>
        <v>5.5</v>
      </c>
      <c r="K31" s="65">
        <f>K26*'Multiplicando su Negocio'!$D$29</f>
        <v>7.333333333333333</v>
      </c>
      <c r="L31" s="65">
        <f>L26*'Multiplicando su Negocio'!$D$29</f>
        <v>9.1666666666666661</v>
      </c>
      <c r="N31" s="5">
        <f>(J30*$J$22)*'Multiplicando su Negocio'!$D$29</f>
        <v>90.841666666666654</v>
      </c>
    </row>
    <row r="32" spans="3:17" x14ac:dyDescent="0.25">
      <c r="C32" s="14" t="s">
        <v>26</v>
      </c>
      <c r="D32" s="5">
        <f t="shared" si="1"/>
        <v>17169.074999999997</v>
      </c>
      <c r="E32" s="15">
        <f t="shared" si="0"/>
        <v>9</v>
      </c>
      <c r="F32" s="136"/>
      <c r="G32" s="55"/>
      <c r="H32" s="66"/>
      <c r="I32" s="58" t="s">
        <v>131</v>
      </c>
      <c r="J32" s="67">
        <f>J31*'Multiplicando su Negocio'!$D$27</f>
        <v>55</v>
      </c>
      <c r="K32" s="67">
        <f>K31*'Multiplicando su Negocio'!$D$27</f>
        <v>73.333333333333329</v>
      </c>
      <c r="L32" s="67">
        <f>L31*'Multiplicando su Negocio'!$D$27</f>
        <v>91.666666666666657</v>
      </c>
    </row>
    <row r="33" spans="3:12" x14ac:dyDescent="0.25">
      <c r="C33" s="14" t="s">
        <v>27</v>
      </c>
      <c r="D33" s="5">
        <f t="shared" si="1"/>
        <v>19076.75</v>
      </c>
      <c r="E33" s="15">
        <f t="shared" si="0"/>
        <v>10</v>
      </c>
      <c r="F33" s="136"/>
      <c r="G33" s="55"/>
      <c r="H33" s="66"/>
      <c r="I33" s="58" t="s">
        <v>10</v>
      </c>
      <c r="J33" s="67">
        <f>'Multiplicando su Negocio'!$D$16*J10</f>
        <v>2.75</v>
      </c>
      <c r="K33" s="67">
        <f>'Multiplicando su Negocio'!$D$16*K10</f>
        <v>3.25</v>
      </c>
      <c r="L33" s="67">
        <f>'Multiplicando su Negocio'!$D$16*L10</f>
        <v>3.75</v>
      </c>
    </row>
    <row r="34" spans="3:12" x14ac:dyDescent="0.25">
      <c r="C34" s="16" t="s">
        <v>28</v>
      </c>
      <c r="D34" s="17">
        <f>SUM(D22:D33)</f>
        <v>177413.77500000002</v>
      </c>
      <c r="E34" s="18">
        <f>'Presupuesto Anual Franquicias'!P10</f>
        <v>0.45</v>
      </c>
      <c r="F34" s="31"/>
      <c r="G34" s="56"/>
      <c r="H34" s="66"/>
      <c r="I34" s="58" t="s">
        <v>92</v>
      </c>
      <c r="J34" s="67">
        <f>J32/J33</f>
        <v>20</v>
      </c>
      <c r="K34" s="67">
        <f t="shared" ref="K34:L34" si="2">K32/K33</f>
        <v>22.564102564102562</v>
      </c>
      <c r="L34" s="67">
        <f t="shared" si="2"/>
        <v>24.444444444444443</v>
      </c>
    </row>
  </sheetData>
  <sheetProtection algorithmName="SHA-512" hashValue="qalU6NMtMbJbH4aupqPKKY6fon48TPatLEPkA1mHCEe2IDcm+gnIYuSEnPS+gJJghqGz/o5nC3WNA/14jbh6eg==" saltValue="MMBnE4ridXZMRnLRkaqPKQ==" spinCount="100000" sheet="1" objects="1" scenarios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Gabriela Latino</cp:lastModifiedBy>
  <dcterms:created xsi:type="dcterms:W3CDTF">2022-07-23T21:38:48Z</dcterms:created>
  <dcterms:modified xsi:type="dcterms:W3CDTF">2025-02-15T00:53:57Z</dcterms:modified>
</cp:coreProperties>
</file>