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18121CE9-9B65-4258-9847-5502B49D258C}" xr6:coauthVersionLast="47" xr6:coauthVersionMax="47" xr10:uidLastSave="{00000000-0000-0000-0000-000000000000}"/>
  <bookViews>
    <workbookView xWindow="-120" yWindow="-120" windowWidth="20730" windowHeight="11760" tabRatio="799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31" i="5"/>
  <c r="D30" i="5" l="1"/>
  <c r="D32" i="5" s="1"/>
  <c r="K20" i="5" s="1"/>
  <c r="D20" i="5"/>
  <c r="J10" i="1" l="1"/>
  <c r="K14" i="5" l="1"/>
  <c r="L10" i="5"/>
  <c r="M7" i="5" s="1"/>
  <c r="K10" i="5"/>
  <c r="K15" i="5" l="1"/>
  <c r="M9" i="5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9" i="5" l="1"/>
  <c r="D18" i="5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1" i="5"/>
  <c r="K27" i="5" s="1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K22" i="1" l="1"/>
  <c r="L10" i="1"/>
  <c r="K26" i="5"/>
  <c r="G8" i="6"/>
  <c r="L22" i="1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L31" i="1" s="1"/>
  <c r="L32" i="1" s="1"/>
  <c r="K29" i="5"/>
  <c r="K31" i="1" l="1"/>
  <c r="K32" i="1" s="1"/>
  <c r="K20" i="1"/>
  <c r="L20" i="1"/>
  <c r="N8" i="6"/>
  <c r="N7" i="6"/>
  <c r="K19" i="1"/>
  <c r="K18" i="1" s="1"/>
  <c r="K30" i="1"/>
  <c r="K29" i="1" s="1"/>
  <c r="K28" i="1" s="1"/>
  <c r="K27" i="1" s="1"/>
  <c r="L19" i="1"/>
  <c r="L18" i="1" s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L21" i="1"/>
  <c r="J21" i="1"/>
  <c r="K21" i="1"/>
  <c r="N27" i="1" l="1"/>
  <c r="J31" i="1"/>
  <c r="J32" i="1" s="1"/>
  <c r="J20" i="1"/>
  <c r="N19" i="1" s="1"/>
  <c r="Q7" i="1"/>
  <c r="O4" i="1"/>
  <c r="J30" i="1"/>
  <c r="N31" i="1" s="1"/>
  <c r="Q11" i="1"/>
  <c r="O5" i="1"/>
  <c r="I13" i="1" l="1"/>
  <c r="B1" i="1"/>
  <c r="N18" i="1"/>
  <c r="N17" i="1" s="1"/>
  <c r="N20" i="1"/>
  <c r="Q8" i="1"/>
  <c r="J29" i="1"/>
  <c r="N30" i="1" s="1"/>
  <c r="J19" i="1"/>
  <c r="J18" i="1" s="1"/>
  <c r="Q10" i="1"/>
  <c r="Q12" i="1" s="1"/>
  <c r="Q13" i="1" s="1"/>
  <c r="Q9" i="1"/>
  <c r="D34" i="1"/>
  <c r="J28" i="1" l="1"/>
  <c r="N29" i="1" s="1"/>
  <c r="P15" i="1"/>
  <c r="Q15" i="1"/>
  <c r="J27" i="1" l="1"/>
  <c r="N28" i="1" s="1"/>
</calcChain>
</file>

<file path=xl/sharedStrings.xml><?xml version="1.0" encoding="utf-8"?>
<sst xmlns="http://schemas.openxmlformats.org/spreadsheetml/2006/main" count="221" uniqueCount="145">
  <si>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</si>
  <si>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</si>
  <si>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</si>
  <si>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</si>
  <si>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</si>
  <si>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</si>
  <si>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</si>
  <si>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</si>
  <si>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</si>
  <si>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</si>
  <si>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</si>
  <si>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</si>
  <si>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</si>
  <si>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</si>
  <si>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</si>
  <si>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</si>
  <si>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</si>
  <si>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</si>
  <si>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</si>
  <si>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</si>
  <si>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</si>
  <si>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</si>
  <si>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</si>
  <si>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</si>
  <si>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</si>
  <si>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</si>
  <si>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</si>
  <si>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</si>
  <si>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</si>
  <si>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</si>
  <si>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</si>
  <si>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</si>
  <si>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</si>
  <si>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</si>
  <si>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</si>
  <si>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</si>
  <si>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</si>
  <si>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Clientes a atender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</si>
  <si>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</si>
  <si>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</si>
  <si>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</si>
  <si>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</si>
  <si>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</si>
  <si>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</si>
  <si>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</si>
  <si>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</si>
  <si>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</si>
  <si>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</si>
  <si>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</si>
  <si>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</si>
  <si>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</si>
  <si>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</si>
  <si>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</si>
  <si>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</si>
  <si>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</si>
  <si>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</si>
  <si>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</si>
  <si>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</si>
  <si>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</si>
  <si>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</si>
  <si>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</si>
  <si>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</si>
  <si>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</si>
  <si>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</si>
  <si>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</si>
  <si>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</si>
  <si>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</si>
  <si>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</si>
  <si>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</si>
  <si>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promedio de venta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</si>
  <si>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</si>
  <si>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</si>
  <si>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</si>
  <si>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</si>
  <si>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</si>
  <si>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</si>
  <si>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</si>
  <si>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Clientes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</si>
  <si>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</si>
  <si>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</si>
  <si>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</si>
  <si>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</si>
  <si>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</si>
  <si>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</si>
  <si>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</si>
  <si>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</si>
  <si>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</si>
  <si>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</si>
  <si>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</si>
  <si>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</si>
  <si>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</si>
  <si>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</si>
  <si>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</si>
  <si>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</si>
  <si>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</si>
  <si>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</si>
  <si>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</si>
  <si>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clientes promedio/mes</t>
  </si>
  <si>
    <t>clientes promedio/semana</t>
  </si>
  <si>
    <t>clientes promedio/día</t>
  </si>
  <si>
    <t>AUDITADO</t>
  </si>
  <si>
    <t>Visite nuestra página web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</si>
  <si>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</si>
  <si>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</si>
  <si>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Digite el tikect promedio en los cuadros amarillos. Gracias.</t>
  </si>
  <si>
    <t>Procurar primero repetir los valores elegidos antes:</t>
  </si>
  <si>
    <t>Servicio Económico</t>
  </si>
  <si>
    <t>Servicio Lujoso</t>
  </si>
  <si>
    <t>Elija por favor solamente la línea que más vende de sus servicios.</t>
  </si>
  <si>
    <t>¿Cuál es el ticket promedio de la línea de mayor venta?</t>
  </si>
  <si>
    <t>Servicio Medio</t>
  </si>
  <si>
    <t>Personal Altamente Capacitado</t>
  </si>
  <si>
    <t>¿Cuántos servicios ofrece usted al mes?</t>
  </si>
  <si>
    <t>Servicios al Mes</t>
  </si>
  <si>
    <t>En general, del 100% de productos, ¿cuántos desarrolla al mes?</t>
  </si>
  <si>
    <t>Paridad Personal Apto conforme Cantidad de Servicios</t>
  </si>
  <si>
    <t>SERVICIOS</t>
  </si>
  <si>
    <t>Tarifa media</t>
  </si>
  <si>
    <t>Líneas de Servicios</t>
  </si>
  <si>
    <t>Tarifa más baja</t>
  </si>
  <si>
    <t>Tarifa más alta</t>
  </si>
  <si>
    <t>Identificaremos cuántos servicios tiene su negocio por línea de precio estandar.</t>
  </si>
  <si>
    <t>Solamente poner los servicios más comunes de ventas, no los especiales.</t>
  </si>
  <si>
    <t>Horas Laborales que usa por cliente al día</t>
  </si>
  <si>
    <t>En promedio, ¿cuántos servicios se venden por cliente?</t>
  </si>
  <si>
    <t>OTROS SERVICIOS COMPLEMENTARIOS</t>
  </si>
  <si>
    <t>¿Cuántas semanas al mes le dedico el servicio al cliente?</t>
  </si>
  <si>
    <t>Frecuencia de Servicios a ejecutar</t>
  </si>
  <si>
    <t>Días promedio a la semana que atiende a un cliente</t>
  </si>
  <si>
    <t>Horas Laborales al Mes</t>
  </si>
  <si>
    <t>Horas Laborales de Servicio por Cliente</t>
  </si>
  <si>
    <t>Cantidad de Clientes Promedio a atender al mes</t>
  </si>
  <si>
    <t>Ticket Promedio por Cliente</t>
  </si>
  <si>
    <t>Ventas Altas</t>
  </si>
  <si>
    <t>servicios promedio/día</t>
  </si>
  <si>
    <t>Ingresos por Día:</t>
  </si>
  <si>
    <t>Facturaciones por Día:</t>
  </si>
  <si>
    <t>Ganancias por Día:</t>
  </si>
  <si>
    <t>promedio servicios facturados/día</t>
  </si>
  <si>
    <t>Servicios por Día/Clientes: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</si>
  <si>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</si>
  <si>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</si>
  <si>
    <t>Comportamiento Financiero: una idea rápida de la Factibilidad y Rentabilidad de su Negocio para Franquiciarlo</t>
  </si>
  <si>
    <t>¿Cuánto en ingresos deben hacer sus franquiciasal mes en ventas mínimas?</t>
  </si>
  <si>
    <t>4 Sencillos Datos para identificar si es VIABLE multiplicar su negocio como modelo de franquicia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</si>
</sst>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9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64" fontId="0" fillId="0" borderId="5" xfId="0" applyNumberFormat="1" applyBorder="1"/>
    <xf numFmtId="164" fontId="14" fillId="0" borderId="9" xfId="0" applyNumberFormat="1" applyFont="1" applyBorder="1"/>
    <xf numFmtId="0" fontId="0" fillId="7" borderId="0" xfId="0" applyFill="1"/>
    <xf numFmtId="0" fontId="17" fillId="7" borderId="0" xfId="0" applyFont="1" applyFill="1" applyAlignment="1">
      <alignment horizontal="right"/>
    </xf>
    <xf numFmtId="0" fontId="17" fillId="7" borderId="0" xfId="0" applyFont="1" applyFill="1" applyAlignment="1">
      <alignment horizontal="center"/>
    </xf>
    <xf numFmtId="0" fontId="17" fillId="7" borderId="0" xfId="0" applyFont="1" applyFill="1" applyAlignment="1">
      <alignment horizontal="left"/>
    </xf>
    <xf numFmtId="164" fontId="22" fillId="7" borderId="0" xfId="0" applyNumberFormat="1" applyFont="1" applyFill="1"/>
    <xf numFmtId="164" fontId="20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Border="1"/>
    <xf numFmtId="10" fontId="22" fillId="7" borderId="0" xfId="3" applyNumberFormat="1" applyFont="1" applyFill="1"/>
    <xf numFmtId="166" fontId="0" fillId="0" borderId="0" xfId="0" applyNumberFormat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Protection="1"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left" vertical="center" textRotation="90" wrapText="1"/>
    </xf>
    <xf numFmtId="9" fontId="1" fillId="0" borderId="0" xfId="0" applyNumberFormat="1" applyFont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right" vertical="center"/>
    </xf>
    <xf numFmtId="9" fontId="0" fillId="5" borderId="0" xfId="0" applyNumberFormat="1" applyFill="1" applyAlignment="1" applyProtection="1">
      <alignment horizontal="center" vertical="center"/>
      <protection locked="0"/>
    </xf>
    <xf numFmtId="164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right"/>
    </xf>
    <xf numFmtId="3" fontId="26" fillId="6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right"/>
    </xf>
    <xf numFmtId="1" fontId="27" fillId="9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right"/>
    </xf>
    <xf numFmtId="164" fontId="28" fillId="3" borderId="0" xfId="0" applyNumberFormat="1" applyFont="1" applyFill="1"/>
    <xf numFmtId="0" fontId="1" fillId="10" borderId="1" xfId="0" applyFont="1" applyFill="1" applyBorder="1" applyAlignment="1">
      <alignment horizontal="right"/>
    </xf>
    <xf numFmtId="164" fontId="1" fillId="10" borderId="2" xfId="0" applyNumberFormat="1" applyFont="1" applyFill="1" applyBorder="1"/>
    <xf numFmtId="9" fontId="1" fillId="10" borderId="3" xfId="0" applyNumberFormat="1" applyFont="1" applyFill="1" applyBorder="1" applyAlignment="1">
      <alignment horizontal="center"/>
    </xf>
    <xf numFmtId="9" fontId="1" fillId="10" borderId="8" xfId="0" applyNumberFormat="1" applyFont="1" applyFill="1" applyBorder="1" applyAlignment="1">
      <alignment horizontal="center"/>
    </xf>
    <xf numFmtId="0" fontId="21" fillId="10" borderId="11" xfId="0" applyFont="1" applyFill="1" applyBorder="1"/>
    <xf numFmtId="0" fontId="1" fillId="10" borderId="12" xfId="0" applyFont="1" applyFill="1" applyBorder="1" applyAlignment="1">
      <alignment horizontal="right"/>
    </xf>
    <xf numFmtId="0" fontId="21" fillId="10" borderId="4" xfId="0" applyFont="1" applyFill="1" applyBorder="1"/>
    <xf numFmtId="0" fontId="1" fillId="10" borderId="0" xfId="0" applyFont="1" applyFill="1" applyAlignment="1">
      <alignment horizontal="right"/>
    </xf>
    <xf numFmtId="0" fontId="21" fillId="10" borderId="6" xfId="0" applyFont="1" applyFill="1" applyBorder="1"/>
    <xf numFmtId="0" fontId="1" fillId="10" borderId="7" xfId="0" applyFont="1" applyFill="1" applyBorder="1" applyAlignment="1">
      <alignment horizontal="right"/>
    </xf>
    <xf numFmtId="10" fontId="1" fillId="10" borderId="8" xfId="3" applyNumberFormat="1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164" fontId="1" fillId="10" borderId="8" xfId="0" applyNumberFormat="1" applyFont="1" applyFill="1" applyBorder="1"/>
    <xf numFmtId="0" fontId="13" fillId="10" borderId="0" xfId="0" applyFont="1" applyFill="1"/>
    <xf numFmtId="164" fontId="20" fillId="10" borderId="0" xfId="0" applyNumberFormat="1" applyFont="1" applyFill="1"/>
    <xf numFmtId="164" fontId="1" fillId="10" borderId="3" xfId="0" applyNumberFormat="1" applyFont="1" applyFill="1" applyBorder="1"/>
    <xf numFmtId="0" fontId="14" fillId="3" borderId="0" xfId="0" applyFont="1" applyFill="1" applyAlignment="1">
      <alignment horizontal="right"/>
    </xf>
    <xf numFmtId="0" fontId="14" fillId="3" borderId="0" xfId="0" applyFont="1" applyFill="1" applyAlignment="1">
      <alignment horizontal="left"/>
    </xf>
    <xf numFmtId="0" fontId="29" fillId="3" borderId="0" xfId="0" applyFont="1" applyFill="1" applyAlignment="1">
      <alignment horizontal="right"/>
    </xf>
    <xf numFmtId="164" fontId="30" fillId="3" borderId="0" xfId="0" applyNumberFormat="1" applyFont="1" applyFill="1"/>
    <xf numFmtId="3" fontId="30" fillId="3" borderId="0" xfId="0" applyNumberFormat="1" applyFont="1" applyFill="1" applyAlignment="1">
      <alignment horizontal="center"/>
    </xf>
    <xf numFmtId="0" fontId="10" fillId="3" borderId="4" xfId="0" applyFont="1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3" fontId="15" fillId="3" borderId="0" xfId="0" applyNumberFormat="1" applyFont="1" applyFill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4" fillId="3" borderId="7" xfId="0" applyFont="1" applyFill="1" applyBorder="1" applyAlignment="1">
      <alignment horizontal="right"/>
    </xf>
    <xf numFmtId="3" fontId="15" fillId="3" borderId="7" xfId="0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0" fillId="3" borderId="8" xfId="0" applyFill="1" applyBorder="1"/>
    <xf numFmtId="0" fontId="31" fillId="3" borderId="0" xfId="0" applyFont="1" applyFill="1" applyAlignment="1">
      <alignment horizontal="right"/>
    </xf>
    <xf numFmtId="0" fontId="32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6" fillId="0" borderId="0" xfId="0" applyFont="1"/>
    <xf numFmtId="0" fontId="8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https://www.winprojects.pro/" TargetMode="External"/><Relationship Id="rId7" Type="http://schemas.openxmlformats.org/officeDocument/2006/relationships/hyperlink" Target="#'Multiplicando su Negocio'!A1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mfcyourfranchise.com/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wrcapital.pro/" TargetMode="External"/><Relationship Id="rId5" Type="http://schemas.openxmlformats.org/officeDocument/2006/relationships/hyperlink" Target="https://www.bdseniorpartners.com/" TargetMode="External"/><Relationship Id="rId10" Type="http://schemas.openxmlformats.org/officeDocument/2006/relationships/hyperlink" Target="https://www.franquiciashubs.com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4.png"/><Relationship Id="rId5" Type="http://schemas.openxmlformats.org/officeDocument/2006/relationships/hyperlink" Target="#Inicio!A1"/><Relationship Id="rId10" Type="http://schemas.openxmlformats.org/officeDocument/2006/relationships/image" Target="../media/image15.png"/><Relationship Id="rId4" Type="http://schemas.openxmlformats.org/officeDocument/2006/relationships/image" Target="../media/image11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4.png"/><Relationship Id="rId1" Type="http://schemas.openxmlformats.org/officeDocument/2006/relationships/hyperlink" Target="#'Viabilidad para Franquici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356189D6-404A-4235-A3E6-22F3EA8AB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EEE49161-AC10-44E5-8364-6D1D1E461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0702199E-59D9-48F5-8A15-8300BC895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7C39157-6ED1-4EC8-8BD8-C859F0B1C0B0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9585AA4-A5AF-4204-A35C-8DA1B3E0D6ED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SERVICIO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7" tooltip="Conozca cuál debe ser la dinámica de su negocio franquiciado"/>
          <a:extLst>
            <a:ext uri="{FF2B5EF4-FFF2-40B4-BE49-F238E27FC236}">
              <a16:creationId xmlns:a16="http://schemas.microsoft.com/office/drawing/2014/main" id="{C5E9B6FC-64CA-41DA-A335-844B47F9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7" tooltip="Conozca cuál debe ser la dinámica de su negocio franquiciado"/>
          <a:extLst>
            <a:ext uri="{FF2B5EF4-FFF2-40B4-BE49-F238E27FC236}">
              <a16:creationId xmlns:a16="http://schemas.microsoft.com/office/drawing/2014/main" id="{66675640-6D34-49D8-8DAC-1C7947ACA49F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 tooltip="Comercialización Franquicias"/>
          <a:extLst>
            <a:ext uri="{FF2B5EF4-FFF2-40B4-BE49-F238E27FC236}">
              <a16:creationId xmlns:a16="http://schemas.microsoft.com/office/drawing/2014/main" id="{A1659A2D-54BA-4815-93C8-9651E80AFE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158113</xdr:colOff>
      <xdr:row>29</xdr:row>
      <xdr:rowOff>45720</xdr:rowOff>
    </xdr:from>
    <xdr:to>
      <xdr:col>1</xdr:col>
      <xdr:colOff>716278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8022EA84-221F-4C4E-A830-F94CD49D2F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58113" y="5536602"/>
          <a:ext cx="905547" cy="48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8FEF94-132D-4EDD-BA42-799384632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10" tooltip="Comercialización de Franquicias"/>
          <a:extLst>
            <a:ext uri="{FF2B5EF4-FFF2-40B4-BE49-F238E27FC236}">
              <a16:creationId xmlns:a16="http://schemas.microsoft.com/office/drawing/2014/main" id="{69D63A1F-AAD5-4B2E-ADF4-1826D21B05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6E625626-6A84-47D0-974C-1CAF9F8DA3A5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negocio de servicio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1F5B3C2-CD5D-4B92-BE43-ECBE753F763C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México, California y Florida, EE.UU.: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Escuela de Franquicias y Apertura en EE.UU.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1" tooltip="Coach Inversiones"/>
          <a:extLst>
            <a:ext uri="{FF2B5EF4-FFF2-40B4-BE49-F238E27FC236}">
              <a16:creationId xmlns:a16="http://schemas.microsoft.com/office/drawing/2014/main" id="{140439AD-BDE1-4326-93CC-71284CC285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538D7847-394B-4EC8-ACE7-4350A5D1B0C7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Firma experta en Negocios: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93852CE-B341-4D78-A5B8-AEA040124EAC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BF155FC4-BD1B-49C2-91CC-F80D00B17E9D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Comercialización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1C5A1B2-3A0C-47B5-A9D8-2909D378DDE7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Coach Inversiones en Franquicias: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Creación de Patrimonio para Inversores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358140</xdr:colOff>
      <xdr:row>0</xdr:row>
      <xdr:rowOff>38100</xdr:rowOff>
    </xdr:from>
    <xdr:to>
      <xdr:col>16</xdr:col>
      <xdr:colOff>472440</xdr:colOff>
      <xdr:row>13</xdr:row>
      <xdr:rowOff>152400</xdr:rowOff>
    </xdr:to>
    <xdr:pic>
      <xdr:nvPicPr>
        <xdr:cNvPr id="23" name="Imagen 22" descr="Íconos de servicio al cliente en SVG, PNG, AI para descargar">
          <a:extLst>
            <a:ext uri="{FF2B5EF4-FFF2-40B4-BE49-F238E27FC236}">
              <a16:creationId xmlns:a16="http://schemas.microsoft.com/office/drawing/2014/main" id="{6A32DF49-514D-4B35-B16C-68C34059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620" y="38100"/>
          <a:ext cx="2491740" cy="249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558846</xdr:colOff>
      <xdr:row>24</xdr:row>
      <xdr:rowOff>180974</xdr:rowOff>
    </xdr:from>
    <xdr:to>
      <xdr:col>12</xdr:col>
      <xdr:colOff>974669</xdr:colOff>
      <xdr:row>28</xdr:row>
      <xdr:rowOff>161925</xdr:rowOff>
    </xdr:to>
    <xdr:pic>
      <xdr:nvPicPr>
        <xdr:cNvPr id="24" name="Imagen 23">
          <a:hlinkClick xmlns:r="http://schemas.openxmlformats.org/officeDocument/2006/relationships" r:id="rId10" tooltip="Comercialización de Franquicias"/>
          <a:extLst>
            <a:ext uri="{FF2B5EF4-FFF2-40B4-BE49-F238E27FC236}">
              <a16:creationId xmlns:a16="http://schemas.microsoft.com/office/drawing/2014/main" id="{1F80362C-B479-B518-2DCA-F5D0120364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10" b="22219"/>
        <a:stretch/>
      </xdr:blipFill>
      <xdr:spPr>
        <a:xfrm>
          <a:off x="7245396" y="4724399"/>
          <a:ext cx="2701823" cy="742951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24</xdr:row>
      <xdr:rowOff>72285</xdr:rowOff>
    </xdr:from>
    <xdr:to>
      <xdr:col>16</xdr:col>
      <xdr:colOff>491736</xdr:colOff>
      <xdr:row>29</xdr:row>
      <xdr:rowOff>64459</xdr:rowOff>
    </xdr:to>
    <xdr:pic>
      <xdr:nvPicPr>
        <xdr:cNvPr id="26" name="Imagen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426A1D9-C3E4-94E6-93E2-460C25312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4615710"/>
          <a:ext cx="1882386" cy="944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31</xdr:row>
      <xdr:rowOff>106680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632461</xdr:colOff>
      <xdr:row>0</xdr:row>
      <xdr:rowOff>175260</xdr:rowOff>
    </xdr:from>
    <xdr:to>
      <xdr:col>14</xdr:col>
      <xdr:colOff>290555</xdr:colOff>
      <xdr:row>2</xdr:row>
      <xdr:rowOff>121467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81" y="175260"/>
          <a:ext cx="450574" cy="388167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0</xdr:row>
      <xdr:rowOff>185503</xdr:rowOff>
    </xdr:from>
    <xdr:to>
      <xdr:col>13</xdr:col>
      <xdr:colOff>674887</xdr:colOff>
      <xdr:row>2</xdr:row>
      <xdr:rowOff>167640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098780" y="185503"/>
          <a:ext cx="880627" cy="424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632461</xdr:colOff>
      <xdr:row>2</xdr:row>
      <xdr:rowOff>129540</xdr:rowOff>
    </xdr:from>
    <xdr:to>
      <xdr:col>14</xdr:col>
      <xdr:colOff>290555</xdr:colOff>
      <xdr:row>4</xdr:row>
      <xdr:rowOff>40445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936981" y="57150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2</xdr:row>
      <xdr:rowOff>141264</xdr:rowOff>
    </xdr:from>
    <xdr:to>
      <xdr:col>13</xdr:col>
      <xdr:colOff>674887</xdr:colOff>
      <xdr:row>4</xdr:row>
      <xdr:rowOff>76200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098780" y="583224"/>
          <a:ext cx="880627" cy="468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30480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841480" y="2186940"/>
          <a:ext cx="2148840" cy="815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cliente comprar fijo de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68700</xdr:rowOff>
    </xdr:to>
    <xdr:pic>
      <xdr:nvPicPr>
        <xdr:cNvPr id="23" name="Imagen 22" descr="Linea de ensamblaje - Iconos gratis de industri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29</xdr:row>
      <xdr:rowOff>53340</xdr:rowOff>
    </xdr:to>
    <xdr:pic>
      <xdr:nvPicPr>
        <xdr:cNvPr id="24" name="Imagen 23" descr="Vector Transparente PNG Y SVG De Camisa En El Colgador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26</xdr:row>
      <xdr:rowOff>45720</xdr:rowOff>
    </xdr:to>
    <xdr:pic>
      <xdr:nvPicPr>
        <xdr:cNvPr id="25" name="Imagen 24" descr="👞 Zapato De Hombre Emoji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32</xdr:row>
      <xdr:rowOff>45720</xdr:rowOff>
    </xdr:to>
    <xdr:pic>
      <xdr:nvPicPr>
        <xdr:cNvPr id="22" name="Imagen 21" descr="Thumb Image - Productos De Mercado Png, Transparent Png , Transparent Png  Image - PNGite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33</xdr:row>
      <xdr:rowOff>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22860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99060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7764-4C58-4F4C-8E0E-567C85E9A067}">
  <dimension ref="A1:R31"/>
  <sheetViews>
    <sheetView showGridLines="0" showRowColHeaders="0" tabSelected="1" zoomScale="85" zoomScaleNormal="85" workbookViewId="0">
      <selection activeCell="R25" sqref="R25"/>
    </sheetView>
  </sheetViews>
  <sheetFormatPr baseColWidth="10" defaultRowHeight="15" x14ac:dyDescent="0.25"/>
  <cols>
    <col min="1" max="1" width="5.28515625" customWidth="1"/>
    <col min="4" max="4" width="17.140625" customWidth="1"/>
    <col min="5" max="5" width="11.5703125" customWidth="1"/>
    <col min="9" max="9" width="9.140625" customWidth="1"/>
    <col min="13" max="13" width="14.85546875" customWidth="1"/>
  </cols>
  <sheetData>
    <row r="1" spans="1:18" ht="14.4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4.4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4.4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11" spans="1:18" x14ac:dyDescent="0.25">
      <c r="D11" t="s">
        <v>101</v>
      </c>
    </row>
    <row r="31" spans="3:16" x14ac:dyDescent="0.25">
      <c r="C31" t="s">
        <v>101</v>
      </c>
      <c r="G31" t="s">
        <v>101</v>
      </c>
      <c r="L31" t="s">
        <v>101</v>
      </c>
      <c r="P31" t="s">
        <v>101</v>
      </c>
    </row>
  </sheetData>
  <sheetProtection algorithmName="SHA-512" hashValue="LjilVrqq4LJXK1w+jx7puA3AgGvm4+NcSZ/7JNa3ozyCpd+x3L68I5ebFvKCsQS3i489Obj1zIJYqlF+COO7IA==" saltValue="FVj29e9qYeMe2fWwXHQPEw==" spinCount="100000" sheet="1" objects="1" scenarios="1" selectLockedCells="1" selectUnlockedCells="1"/>
  <hyperlinks>
    <hyperlink ref="A34" r:id="rId1" display="https://www.winpartnersgroup.com/ " xr:uid="{C3DC2AE2-82F9-45FB-B53C-BCE7AEA64ED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showGridLines="0" showRowColHeaders="0" zoomScale="85" zoomScaleNormal="85" workbookViewId="0">
      <selection activeCell="D7" sqref="D7"/>
    </sheetView>
  </sheetViews>
  <sheetFormatPr baseColWidth="10" defaultRowHeight="15" x14ac:dyDescent="0.25"/>
  <cols>
    <col min="1" max="1" width="17.42578125" customWidth="1"/>
    <col min="2" max="2" width="11.5703125" customWidth="1"/>
    <col min="3" max="3" width="27.28515625" customWidth="1"/>
    <col min="4" max="4" width="12.140625" bestFit="1" customWidth="1"/>
    <col min="5" max="5" width="6.42578125" customWidth="1"/>
    <col min="6" max="6" width="29.140625" customWidth="1"/>
    <col min="11" max="11" width="20.7109375" customWidth="1"/>
  </cols>
  <sheetData>
    <row r="1" spans="2:13" ht="26.25" x14ac:dyDescent="0.4">
      <c r="B1" s="20" t="s">
        <v>144</v>
      </c>
    </row>
    <row r="2" spans="2:13" ht="9" customHeight="1" x14ac:dyDescent="0.25"/>
    <row r="3" spans="2:13" ht="21" x14ac:dyDescent="0.35">
      <c r="B3" s="97">
        <v>1</v>
      </c>
      <c r="C3" s="18" t="s">
        <v>25</v>
      </c>
      <c r="H3" s="97">
        <v>4</v>
      </c>
      <c r="I3" s="18" t="s">
        <v>68</v>
      </c>
    </row>
    <row r="4" spans="2:13" ht="21" x14ac:dyDescent="0.35">
      <c r="B4" s="17" t="s">
        <v>108</v>
      </c>
      <c r="D4" s="16"/>
      <c r="E4" s="16"/>
      <c r="I4" s="17" t="s">
        <v>121</v>
      </c>
    </row>
    <row r="5" spans="2:13" x14ac:dyDescent="0.25">
      <c r="B5" s="17" t="s">
        <v>104</v>
      </c>
      <c r="I5" s="17" t="s">
        <v>122</v>
      </c>
    </row>
    <row r="6" spans="2:13" x14ac:dyDescent="0.25">
      <c r="D6" s="70" t="s">
        <v>109</v>
      </c>
      <c r="J6" s="4" t="s">
        <v>116</v>
      </c>
      <c r="L6" s="38" t="s">
        <v>118</v>
      </c>
    </row>
    <row r="7" spans="2:13" x14ac:dyDescent="0.25">
      <c r="C7" s="6" t="s">
        <v>106</v>
      </c>
      <c r="D7" s="44">
        <v>0</v>
      </c>
      <c r="J7" s="6" t="s">
        <v>120</v>
      </c>
      <c r="K7" s="44">
        <v>800</v>
      </c>
      <c r="L7" s="41">
        <v>2</v>
      </c>
      <c r="M7" s="37">
        <f>L7/$L$10</f>
        <v>0.2</v>
      </c>
    </row>
    <row r="8" spans="2:13" x14ac:dyDescent="0.25">
      <c r="C8" s="6" t="s">
        <v>110</v>
      </c>
      <c r="D8" s="44">
        <v>500</v>
      </c>
      <c r="J8" s="74" t="s">
        <v>117</v>
      </c>
      <c r="K8" s="76">
        <v>500</v>
      </c>
      <c r="L8" s="77">
        <v>3</v>
      </c>
      <c r="M8" s="37">
        <f>L8/$L$10</f>
        <v>0.3</v>
      </c>
    </row>
    <row r="9" spans="2:13" x14ac:dyDescent="0.25">
      <c r="C9" s="6" t="s">
        <v>107</v>
      </c>
      <c r="D9" s="44">
        <v>0</v>
      </c>
      <c r="J9" s="6" t="s">
        <v>119</v>
      </c>
      <c r="K9" s="44">
        <v>250</v>
      </c>
      <c r="L9" s="41">
        <v>5</v>
      </c>
      <c r="M9" s="37">
        <f>L9/$L$10</f>
        <v>0.5</v>
      </c>
    </row>
    <row r="10" spans="2:13" x14ac:dyDescent="0.25">
      <c r="C10" s="6" t="s">
        <v>27</v>
      </c>
      <c r="D10" s="5">
        <f>SUM(D7:D9)</f>
        <v>500</v>
      </c>
      <c r="J10" s="6" t="s">
        <v>69</v>
      </c>
      <c r="K10" s="5">
        <f>AVERAGE(K7:K9)</f>
        <v>516.66666666666663</v>
      </c>
      <c r="L10" s="32">
        <f>SUM(L7:L9)</f>
        <v>10</v>
      </c>
      <c r="M10" s="37">
        <f>L10/$L$10</f>
        <v>1</v>
      </c>
    </row>
    <row r="11" spans="2:13" x14ac:dyDescent="0.25">
      <c r="J11" s="4" t="s">
        <v>125</v>
      </c>
    </row>
    <row r="12" spans="2:13" ht="21" x14ac:dyDescent="0.35">
      <c r="B12" s="97">
        <v>2</v>
      </c>
      <c r="C12" s="18" t="s">
        <v>26</v>
      </c>
      <c r="J12" s="6" t="s">
        <v>120</v>
      </c>
      <c r="K12" s="44">
        <v>150</v>
      </c>
    </row>
    <row r="13" spans="2:13" ht="21" x14ac:dyDescent="0.35">
      <c r="B13" s="17" t="s">
        <v>30</v>
      </c>
      <c r="D13" s="16"/>
      <c r="E13" s="16"/>
      <c r="J13" s="6" t="s">
        <v>119</v>
      </c>
      <c r="K13" s="44"/>
    </row>
    <row r="14" spans="2:13" x14ac:dyDescent="0.25">
      <c r="B14" s="17" t="s">
        <v>31</v>
      </c>
      <c r="K14" s="5">
        <f>AVERAGE(K12:K13)</f>
        <v>150</v>
      </c>
    </row>
    <row r="15" spans="2:13" x14ac:dyDescent="0.25">
      <c r="J15" s="4" t="s">
        <v>132</v>
      </c>
      <c r="K15" s="5">
        <f>AVERAGE(K10,K14)</f>
        <v>333.33333333333331</v>
      </c>
    </row>
    <row r="16" spans="2:13" x14ac:dyDescent="0.25">
      <c r="C16" s="6" t="s">
        <v>111</v>
      </c>
      <c r="D16" s="41">
        <v>1</v>
      </c>
    </row>
    <row r="17" spans="2:13" ht="21" x14ac:dyDescent="0.35">
      <c r="C17" s="6" t="s">
        <v>112</v>
      </c>
      <c r="D17" s="41">
        <v>5</v>
      </c>
      <c r="H17" s="118" t="s">
        <v>29</v>
      </c>
      <c r="I17" s="119"/>
      <c r="J17" s="119"/>
      <c r="K17" s="119"/>
      <c r="L17" s="119"/>
      <c r="M17" s="120"/>
    </row>
    <row r="18" spans="2:13" ht="14.45" customHeight="1" x14ac:dyDescent="0.25">
      <c r="C18" s="6" t="s">
        <v>113</v>
      </c>
      <c r="D18" s="32">
        <f>D17/D16</f>
        <v>5</v>
      </c>
      <c r="H18" s="121" t="s">
        <v>143</v>
      </c>
      <c r="I18" s="122"/>
      <c r="J18" s="122"/>
      <c r="K18" s="122"/>
      <c r="L18" s="122"/>
      <c r="M18" s="123"/>
    </row>
    <row r="19" spans="2:13" x14ac:dyDescent="0.25">
      <c r="B19" s="19"/>
      <c r="C19" s="74" t="s">
        <v>114</v>
      </c>
      <c r="D19" s="75">
        <v>1</v>
      </c>
      <c r="H19" s="105"/>
      <c r="I19" s="106"/>
      <c r="J19" s="106"/>
      <c r="K19" s="106"/>
      <c r="L19" s="106"/>
      <c r="M19" s="107"/>
    </row>
    <row r="20" spans="2:13" ht="21" x14ac:dyDescent="0.35">
      <c r="C20" s="6" t="s">
        <v>115</v>
      </c>
      <c r="D20" s="32">
        <f>D16*D19</f>
        <v>1</v>
      </c>
      <c r="H20" s="108"/>
      <c r="I20" s="106"/>
      <c r="J20" s="102" t="str">
        <f>IF(D7&gt;0,C7,IF(D8&gt;0,C8,IF(D9&gt;0,C9,0)))</f>
        <v>Servicio Medio</v>
      </c>
      <c r="K20" s="103">
        <f>D32*D10</f>
        <v>11000</v>
      </c>
      <c r="L20" s="106"/>
      <c r="M20" s="107"/>
    </row>
    <row r="21" spans="2:13" ht="15.75" x14ac:dyDescent="0.25">
      <c r="H21" s="108"/>
      <c r="I21" s="106"/>
      <c r="J21" s="100" t="s">
        <v>127</v>
      </c>
      <c r="K21" s="109">
        <f>K20/K15</f>
        <v>33</v>
      </c>
      <c r="L21" s="101" t="s">
        <v>34</v>
      </c>
      <c r="M21" s="107"/>
    </row>
    <row r="22" spans="2:13" ht="21" x14ac:dyDescent="0.35">
      <c r="B22" s="97">
        <v>3</v>
      </c>
      <c r="C22" s="18" t="s">
        <v>28</v>
      </c>
      <c r="H22" s="108"/>
      <c r="I22" s="106"/>
      <c r="J22" s="100" t="s">
        <v>127</v>
      </c>
      <c r="K22" s="109">
        <f>K21/D28</f>
        <v>8.25</v>
      </c>
      <c r="L22" s="101" t="s">
        <v>35</v>
      </c>
      <c r="M22" s="107"/>
    </row>
    <row r="23" spans="2:13" ht="14.45" customHeight="1" x14ac:dyDescent="0.35">
      <c r="B23" s="17" t="s">
        <v>33</v>
      </c>
      <c r="D23" s="16"/>
      <c r="H23" s="108"/>
      <c r="I23" s="106"/>
      <c r="J23" s="100" t="s">
        <v>127</v>
      </c>
      <c r="K23" s="109">
        <f>K22/D26</f>
        <v>4.125</v>
      </c>
      <c r="L23" s="101" t="s">
        <v>36</v>
      </c>
      <c r="M23" s="107"/>
    </row>
    <row r="24" spans="2:13" ht="14.45" customHeight="1" x14ac:dyDescent="0.35">
      <c r="B24" s="17" t="s">
        <v>32</v>
      </c>
      <c r="E24" s="16"/>
      <c r="H24" s="108"/>
      <c r="I24" s="106"/>
      <c r="J24" s="100"/>
      <c r="K24" s="109"/>
      <c r="L24" s="101"/>
      <c r="M24" s="107"/>
    </row>
    <row r="25" spans="2:13" ht="14.45" customHeight="1" x14ac:dyDescent="0.25">
      <c r="H25" s="108"/>
      <c r="I25" s="106"/>
      <c r="J25" s="106"/>
      <c r="K25" s="106"/>
      <c r="L25" s="106"/>
      <c r="M25" s="107"/>
    </row>
    <row r="26" spans="2:13" ht="14.45" customHeight="1" x14ac:dyDescent="0.35">
      <c r="C26" s="6" t="s">
        <v>128</v>
      </c>
      <c r="D26" s="41">
        <v>2</v>
      </c>
      <c r="H26" s="108"/>
      <c r="I26" s="106"/>
      <c r="J26" s="116" t="str">
        <f>J21</f>
        <v>Frecuencia de Servicios a ejecutar</v>
      </c>
      <c r="K26" s="104">
        <f>K21</f>
        <v>33</v>
      </c>
      <c r="L26" s="106"/>
      <c r="M26" s="107"/>
    </row>
    <row r="27" spans="2:13" ht="14.45" customHeight="1" x14ac:dyDescent="0.25">
      <c r="C27" s="6" t="s">
        <v>123</v>
      </c>
      <c r="D27" s="41">
        <v>1</v>
      </c>
      <c r="H27" s="108"/>
      <c r="I27" s="106"/>
      <c r="J27" s="100" t="s">
        <v>37</v>
      </c>
      <c r="K27" s="109">
        <f>K21/$D$29</f>
        <v>22</v>
      </c>
      <c r="L27" s="101" t="s">
        <v>34</v>
      </c>
      <c r="M27" s="107"/>
    </row>
    <row r="28" spans="2:13" ht="15.75" x14ac:dyDescent="0.25">
      <c r="C28" s="6" t="s">
        <v>126</v>
      </c>
      <c r="D28" s="40">
        <v>4</v>
      </c>
      <c r="H28" s="108"/>
      <c r="I28" s="106"/>
      <c r="J28" s="100" t="s">
        <v>37</v>
      </c>
      <c r="K28" s="109">
        <f>K22/$D$29</f>
        <v>5.5</v>
      </c>
      <c r="L28" s="101" t="s">
        <v>35</v>
      </c>
      <c r="M28" s="107"/>
    </row>
    <row r="29" spans="2:13" ht="15.75" x14ac:dyDescent="0.25">
      <c r="C29" s="6" t="s">
        <v>124</v>
      </c>
      <c r="D29" s="36">
        <f>D10/K15</f>
        <v>1.5</v>
      </c>
      <c r="H29" s="110"/>
      <c r="I29" s="111"/>
      <c r="J29" s="112" t="s">
        <v>37</v>
      </c>
      <c r="K29" s="113">
        <f>K23/$D$29</f>
        <v>2.75</v>
      </c>
      <c r="L29" s="114" t="s">
        <v>36</v>
      </c>
      <c r="M29" s="115"/>
    </row>
    <row r="30" spans="2:13" x14ac:dyDescent="0.25">
      <c r="C30" s="6" t="s">
        <v>129</v>
      </c>
      <c r="D30" s="32">
        <f>8*5.5*4</f>
        <v>176</v>
      </c>
    </row>
    <row r="31" spans="2:13" x14ac:dyDescent="0.25">
      <c r="C31" s="6" t="s">
        <v>130</v>
      </c>
      <c r="D31" s="32">
        <f>D27*D26*D28</f>
        <v>8</v>
      </c>
    </row>
    <row r="32" spans="2:13" x14ac:dyDescent="0.25">
      <c r="C32" s="6" t="s">
        <v>131</v>
      </c>
      <c r="D32" s="32">
        <f>D30/D31</f>
        <v>22</v>
      </c>
    </row>
  </sheetData>
  <sheetProtection algorithmName="SHA-512" hashValue="LZCJpMcw+zTZgfU8ax3TF/5ht5itB1CtoVdRcmUzDFSH/+ruU/ikjH3AGkqYEWU6QCOM13f4UuSbKenDPLGDYQ==" saltValue="Y5r4CU06RrEqNfcLJveg7g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="85" zoomScaleNormal="85" workbookViewId="0">
      <selection activeCell="G9" sqref="G9"/>
    </sheetView>
  </sheetViews>
  <sheetFormatPr baseColWidth="10" defaultRowHeight="15" x14ac:dyDescent="0.25"/>
  <cols>
    <col min="1" max="1" width="8.7109375" customWidth="1"/>
    <col min="2" max="2" width="11.5703125" customWidth="1"/>
    <col min="3" max="3" width="15.7109375" customWidth="1"/>
    <col min="4" max="4" width="9.7109375" customWidth="1"/>
    <col min="5" max="5" width="6.42578125" customWidth="1"/>
    <col min="6" max="6" width="46.85546875" customWidth="1"/>
    <col min="7" max="7" width="16.85546875" bestFit="1" customWidth="1"/>
    <col min="8" max="8" width="2" customWidth="1"/>
    <col min="11" max="14" width="15.7109375" customWidth="1"/>
    <col min="15" max="15" width="3.85546875" customWidth="1"/>
  </cols>
  <sheetData>
    <row r="1" spans="2:16" ht="26.25" x14ac:dyDescent="0.4">
      <c r="B1" s="20" t="s">
        <v>142</v>
      </c>
    </row>
    <row r="2" spans="2:16" ht="11.45" customHeight="1" x14ac:dyDescent="0.25"/>
    <row r="3" spans="2:16" ht="21" x14ac:dyDescent="0.35">
      <c r="B3" s="97">
        <v>1</v>
      </c>
      <c r="C3" s="18" t="s">
        <v>58</v>
      </c>
      <c r="I3" s="128" t="s">
        <v>48</v>
      </c>
      <c r="J3" s="128"/>
      <c r="K3" s="128"/>
      <c r="L3" s="128"/>
      <c r="M3" s="128"/>
      <c r="N3" s="128"/>
      <c r="O3" s="128"/>
    </row>
    <row r="4" spans="2:16" x14ac:dyDescent="0.25">
      <c r="B4" s="17" t="s">
        <v>45</v>
      </c>
      <c r="I4" s="25"/>
      <c r="J4" s="25"/>
      <c r="K4" s="25"/>
      <c r="L4" s="25"/>
      <c r="M4" s="25"/>
      <c r="N4" s="25"/>
      <c r="O4" s="25"/>
    </row>
    <row r="5" spans="2:16" ht="18.75" x14ac:dyDescent="0.3">
      <c r="B5" s="17" t="s">
        <v>140</v>
      </c>
      <c r="I5" s="25"/>
      <c r="J5" s="26"/>
      <c r="K5" s="27" t="s">
        <v>14</v>
      </c>
      <c r="L5" s="27" t="s">
        <v>55</v>
      </c>
      <c r="M5" s="27" t="s">
        <v>56</v>
      </c>
      <c r="N5" s="27" t="s">
        <v>53</v>
      </c>
      <c r="O5" s="25"/>
    </row>
    <row r="6" spans="2:16" ht="18.75" x14ac:dyDescent="0.3">
      <c r="B6" s="17" t="s">
        <v>102</v>
      </c>
      <c r="I6" s="25"/>
      <c r="J6" s="26" t="s">
        <v>49</v>
      </c>
      <c r="K6" s="24">
        <f>SUM(C21:C23)</f>
        <v>31777.777777777777</v>
      </c>
      <c r="L6" s="24">
        <f>SUM(K21:K23)</f>
        <v>22244.444444444442</v>
      </c>
      <c r="M6" s="24">
        <f>SUM(N21:N23)</f>
        <v>2542.2222222222222</v>
      </c>
      <c r="N6" s="34">
        <f>K6-L6-M6</f>
        <v>6991.1111111111131</v>
      </c>
      <c r="O6" s="25"/>
    </row>
    <row r="7" spans="2:16" ht="18.75" x14ac:dyDescent="0.3">
      <c r="B7" s="17"/>
      <c r="I7" s="25"/>
      <c r="J7" s="26" t="s">
        <v>50</v>
      </c>
      <c r="K7" s="24">
        <f>SUM(C24:C26)</f>
        <v>34222.222222222219</v>
      </c>
      <c r="L7" s="24">
        <f>SUM(K24:K26)</f>
        <v>23955.555555555555</v>
      </c>
      <c r="M7" s="24">
        <f>SUM(N24:N26)</f>
        <v>2737.7777777777778</v>
      </c>
      <c r="N7" s="34">
        <f t="shared" ref="N7:N9" si="0">K7-L7-M7</f>
        <v>7528.8888888888869</v>
      </c>
      <c r="O7" s="25"/>
    </row>
    <row r="8" spans="2:16" ht="18.75" x14ac:dyDescent="0.3">
      <c r="E8" s="21" t="str">
        <f>'Multiplicando su Negocio'!J20</f>
        <v>Servicio Medio</v>
      </c>
      <c r="F8" s="22" t="s">
        <v>44</v>
      </c>
      <c r="G8" s="98">
        <f>'Multiplicando su Negocio'!K20</f>
        <v>11000</v>
      </c>
      <c r="H8" s="30"/>
      <c r="I8" s="28"/>
      <c r="J8" s="26" t="s">
        <v>51</v>
      </c>
      <c r="K8" s="24">
        <f>SUM(C27:C29)</f>
        <v>26888.888888888891</v>
      </c>
      <c r="L8" s="24">
        <f>SUM(K27:K29)</f>
        <v>18822.222222222219</v>
      </c>
      <c r="M8" s="24">
        <f>SUM(N27:N29)</f>
        <v>2151.1111111111113</v>
      </c>
      <c r="N8" s="34">
        <f t="shared" si="0"/>
        <v>5915.5555555555602</v>
      </c>
      <c r="O8" s="25"/>
    </row>
    <row r="9" spans="2:16" ht="18.75" x14ac:dyDescent="0.3">
      <c r="F9" s="6" t="s">
        <v>39</v>
      </c>
      <c r="G9" s="40" t="s">
        <v>13</v>
      </c>
      <c r="H9" s="31"/>
      <c r="I9" s="25"/>
      <c r="J9" s="26" t="s">
        <v>52</v>
      </c>
      <c r="K9" s="24">
        <f>SUM(C30:C32)</f>
        <v>18333.333333333336</v>
      </c>
      <c r="L9" s="24">
        <f>SUM(K30:K32)</f>
        <v>12833.333333333332</v>
      </c>
      <c r="M9" s="24">
        <f>SUM(N30:N32)</f>
        <v>1466.6666666666667</v>
      </c>
      <c r="N9" s="34">
        <f t="shared" si="0"/>
        <v>4033.3333333333367</v>
      </c>
      <c r="O9" s="25"/>
    </row>
    <row r="10" spans="2:16" ht="18" customHeight="1" x14ac:dyDescent="0.3">
      <c r="B10" s="19"/>
      <c r="C10" s="19"/>
      <c r="D10" s="19"/>
      <c r="E10" s="19"/>
      <c r="F10" s="6" t="s">
        <v>40</v>
      </c>
      <c r="G10" s="40">
        <v>9</v>
      </c>
      <c r="H10" s="31"/>
      <c r="I10" s="25"/>
      <c r="J10" s="26" t="s">
        <v>54</v>
      </c>
      <c r="K10" s="29">
        <f>SUM(K6:K9)</f>
        <v>111222.22222222222</v>
      </c>
      <c r="L10" s="29">
        <f t="shared" ref="L10:N10" si="1">SUM(L6:L9)</f>
        <v>77855.555555555547</v>
      </c>
      <c r="M10" s="29">
        <f t="shared" si="1"/>
        <v>8897.7777777777774</v>
      </c>
      <c r="N10" s="29">
        <f t="shared" si="1"/>
        <v>24468.888888888898</v>
      </c>
      <c r="O10" s="25"/>
      <c r="P10" s="35">
        <f>N10/K10</f>
        <v>0.22000000000000008</v>
      </c>
    </row>
    <row r="11" spans="2:16" x14ac:dyDescent="0.25">
      <c r="F11" s="6" t="s">
        <v>141</v>
      </c>
      <c r="G11" s="41" t="s">
        <v>133</v>
      </c>
      <c r="H11" s="32"/>
      <c r="I11" s="127" t="s">
        <v>70</v>
      </c>
      <c r="J11" s="127"/>
      <c r="K11" s="127"/>
      <c r="L11" s="127"/>
      <c r="M11" s="127"/>
      <c r="N11" s="127"/>
      <c r="O11" s="127"/>
    </row>
    <row r="12" spans="2:16" x14ac:dyDescent="0.25">
      <c r="I12" s="17"/>
    </row>
    <row r="13" spans="2:16" ht="21" x14ac:dyDescent="0.35">
      <c r="B13" s="97">
        <v>2</v>
      </c>
      <c r="C13" s="18" t="s">
        <v>57</v>
      </c>
      <c r="I13" s="18">
        <v>3</v>
      </c>
      <c r="J13" s="18" t="s">
        <v>59</v>
      </c>
      <c r="K13" s="18"/>
    </row>
    <row r="14" spans="2:16" ht="21" x14ac:dyDescent="0.35">
      <c r="B14" s="17" t="s">
        <v>41</v>
      </c>
      <c r="D14" s="16"/>
      <c r="E14" s="16"/>
      <c r="J14" s="17" t="s">
        <v>60</v>
      </c>
    </row>
    <row r="15" spans="2:16" x14ac:dyDescent="0.25">
      <c r="B15" s="17" t="s">
        <v>43</v>
      </c>
      <c r="J15" s="17" t="s">
        <v>61</v>
      </c>
    </row>
    <row r="16" spans="2:16" x14ac:dyDescent="0.25">
      <c r="B16" t="s">
        <v>103</v>
      </c>
      <c r="G16" s="40" t="s">
        <v>20</v>
      </c>
      <c r="H16" s="31"/>
      <c r="J16" t="s">
        <v>62</v>
      </c>
      <c r="M16" t="s">
        <v>65</v>
      </c>
    </row>
    <row r="17" spans="2:14" x14ac:dyDescent="0.25">
      <c r="B17" t="s">
        <v>42</v>
      </c>
      <c r="G17" s="40">
        <v>4</v>
      </c>
      <c r="H17" s="31"/>
      <c r="J17" t="s">
        <v>63</v>
      </c>
      <c r="M17" t="s">
        <v>63</v>
      </c>
    </row>
    <row r="18" spans="2:14" x14ac:dyDescent="0.25">
      <c r="B18" t="s">
        <v>38</v>
      </c>
      <c r="J18" t="s">
        <v>64</v>
      </c>
      <c r="M18" t="s">
        <v>64</v>
      </c>
    </row>
    <row r="19" spans="2:14" x14ac:dyDescent="0.25">
      <c r="K19" s="43">
        <v>0.7</v>
      </c>
      <c r="N19" s="43">
        <v>0.08</v>
      </c>
    </row>
    <row r="20" spans="2:14" ht="15.75" x14ac:dyDescent="0.25">
      <c r="B20" s="124" t="s">
        <v>7</v>
      </c>
      <c r="C20" s="126"/>
      <c r="D20" s="125"/>
      <c r="F20" s="33" t="s">
        <v>105</v>
      </c>
      <c r="J20" s="124" t="s">
        <v>46</v>
      </c>
      <c r="K20" s="125"/>
      <c r="M20" s="124" t="s">
        <v>47</v>
      </c>
      <c r="N20" s="125"/>
    </row>
    <row r="21" spans="2:14" ht="15.6" customHeight="1" x14ac:dyDescent="0.25">
      <c r="B21" s="14" t="s">
        <v>9</v>
      </c>
      <c r="C21" s="5">
        <f>IF($G$16="Enero",'Multiplicando su Negocio'!$K$20*'Presupuesto Anual Franquicias'!D21/'Presupuesto Anual Franquicias'!$G$10,'Multiplicando su Negocio'!$K$20*'Presupuesto Anual Franquicias'!D21/'Presupuesto Anual Franquicias'!$G$10)</f>
        <v>9777.7777777777774</v>
      </c>
      <c r="D21" s="15">
        <f>IF($G$16="Enero",$G$17,G21)</f>
        <v>8</v>
      </c>
      <c r="F21" s="6" t="str">
        <f>B21</f>
        <v>Enero</v>
      </c>
      <c r="G21" s="42">
        <v>8</v>
      </c>
      <c r="H21" s="31"/>
      <c r="J21" s="14" t="s">
        <v>9</v>
      </c>
      <c r="K21" s="23">
        <f>C21*$K$19</f>
        <v>6844.4444444444434</v>
      </c>
      <c r="M21" s="14" t="s">
        <v>9</v>
      </c>
      <c r="N21" s="23">
        <f>C21*$N$19</f>
        <v>782.22222222222217</v>
      </c>
    </row>
    <row r="22" spans="2:14" x14ac:dyDescent="0.25">
      <c r="B22" s="14" t="s">
        <v>12</v>
      </c>
      <c r="C22" s="5">
        <f>IF($G$16="Febrero",'Multiplicando su Negocio'!$K$20*'Presupuesto Anual Franquicias'!D22/'Presupuesto Anual Franquicias'!$G$10,'Multiplicando su Negocio'!$K$20*'Presupuesto Anual Franquicias'!D22/'Presupuesto Anual Franquicias'!$G$10)</f>
        <v>11000</v>
      </c>
      <c r="D22" s="15">
        <f>IF($G$16="Febrero",$G$17,G22)</f>
        <v>9</v>
      </c>
      <c r="F22" s="6" t="str">
        <f t="shared" ref="F22:F32" si="2">B22</f>
        <v>Febrero</v>
      </c>
      <c r="G22" s="42">
        <v>9</v>
      </c>
      <c r="H22" s="31"/>
      <c r="J22" s="14" t="s">
        <v>12</v>
      </c>
      <c r="K22" s="23">
        <f t="shared" ref="K22:K32" si="3">C22*$K$19</f>
        <v>7699.9999999999991</v>
      </c>
      <c r="M22" s="14" t="s">
        <v>12</v>
      </c>
      <c r="N22" s="23">
        <f t="shared" ref="N22:N32" si="4">C22*$N$19</f>
        <v>880</v>
      </c>
    </row>
    <row r="23" spans="2:14" x14ac:dyDescent="0.25">
      <c r="B23" s="14" t="s">
        <v>13</v>
      </c>
      <c r="C23" s="5">
        <f>IF($G$16="Marzo",'Multiplicando su Negocio'!$K$20*'Presupuesto Anual Franquicias'!D23/'Presupuesto Anual Franquicias'!$G$10,'Multiplicando su Negocio'!$K$20*'Presupuesto Anual Franquicias'!D23/'Presupuesto Anual Franquicias'!$G$10)</f>
        <v>11000</v>
      </c>
      <c r="D23" s="15">
        <f>IF($G$16="Marzo",$G$17,G23)</f>
        <v>9</v>
      </c>
      <c r="F23" s="6" t="str">
        <f t="shared" si="2"/>
        <v>Marzo</v>
      </c>
      <c r="G23" s="42">
        <v>9</v>
      </c>
      <c r="H23" s="31"/>
      <c r="J23" s="14" t="s">
        <v>13</v>
      </c>
      <c r="K23" s="23">
        <f t="shared" si="3"/>
        <v>7699.9999999999991</v>
      </c>
      <c r="M23" s="14" t="s">
        <v>13</v>
      </c>
      <c r="N23" s="23">
        <f t="shared" si="4"/>
        <v>880</v>
      </c>
    </row>
    <row r="24" spans="2:14" x14ac:dyDescent="0.25">
      <c r="B24" s="14" t="s">
        <v>15</v>
      </c>
      <c r="C24" s="5">
        <f>IF($G$16="Abril",'Multiplicando su Negocio'!$K$20*'Presupuesto Anual Franquicias'!D24/'Presupuesto Anual Franquicias'!$G$10,'Multiplicando su Negocio'!$K$20*'Presupuesto Anual Franquicias'!D24/'Presupuesto Anual Franquicias'!$G$10)</f>
        <v>9777.7777777777774</v>
      </c>
      <c r="D24" s="15">
        <f>IF($G$16="Abril",$G$17,G24)</f>
        <v>8</v>
      </c>
      <c r="F24" s="6" t="str">
        <f t="shared" si="2"/>
        <v>Abril</v>
      </c>
      <c r="G24" s="42">
        <v>8</v>
      </c>
      <c r="H24" s="31"/>
      <c r="J24" s="14" t="s">
        <v>15</v>
      </c>
      <c r="K24" s="23">
        <f t="shared" si="3"/>
        <v>6844.4444444444434</v>
      </c>
      <c r="M24" s="14" t="s">
        <v>15</v>
      </c>
      <c r="N24" s="23">
        <f t="shared" si="4"/>
        <v>782.22222222222217</v>
      </c>
    </row>
    <row r="25" spans="2:14" x14ac:dyDescent="0.25">
      <c r="B25" s="14" t="s">
        <v>16</v>
      </c>
      <c r="C25" s="5">
        <f>IF($G$16="Mayo",'Multiplicando su Negocio'!$K$20*'Presupuesto Anual Franquicias'!D25/'Presupuesto Anual Franquicias'!$G$10,'Multiplicando su Negocio'!$K$20*'Presupuesto Anual Franquicias'!D25/'Presupuesto Anual Franquicias'!$G$10)</f>
        <v>12222.222222222223</v>
      </c>
      <c r="D25" s="15">
        <f>IF($G$16="Mayo",$G$17,G25)</f>
        <v>10</v>
      </c>
      <c r="F25" s="6" t="str">
        <f t="shared" si="2"/>
        <v>Mayo</v>
      </c>
      <c r="G25" s="42">
        <v>10</v>
      </c>
      <c r="H25" s="31"/>
      <c r="J25" s="14" t="s">
        <v>16</v>
      </c>
      <c r="K25" s="23">
        <f t="shared" si="3"/>
        <v>8555.5555555555547</v>
      </c>
      <c r="M25" s="14" t="s">
        <v>16</v>
      </c>
      <c r="N25" s="23">
        <f t="shared" si="4"/>
        <v>977.77777777777783</v>
      </c>
    </row>
    <row r="26" spans="2:14" x14ac:dyDescent="0.25">
      <c r="B26" s="14" t="s">
        <v>17</v>
      </c>
      <c r="C26" s="5">
        <f>IF($G$16="Junio",'Multiplicando su Negocio'!$K$20*'Presupuesto Anual Franquicias'!D26/'Presupuesto Anual Franquicias'!$G$10,'Multiplicando su Negocio'!$K$20*'Presupuesto Anual Franquicias'!D26/'Presupuesto Anual Franquicias'!$G$10)</f>
        <v>12222.222222222223</v>
      </c>
      <c r="D26" s="15">
        <f>IF($G$16="Junio",$G$17,G26)</f>
        <v>10</v>
      </c>
      <c r="F26" s="6" t="str">
        <f t="shared" si="2"/>
        <v>Junio</v>
      </c>
      <c r="G26" s="42">
        <v>10</v>
      </c>
      <c r="H26" s="31"/>
      <c r="J26" s="14" t="s">
        <v>17</v>
      </c>
      <c r="K26" s="23">
        <f t="shared" si="3"/>
        <v>8555.5555555555547</v>
      </c>
      <c r="M26" s="14" t="s">
        <v>17</v>
      </c>
      <c r="N26" s="23">
        <f t="shared" si="4"/>
        <v>977.77777777777783</v>
      </c>
    </row>
    <row r="27" spans="2:14" x14ac:dyDescent="0.25">
      <c r="B27" s="14" t="s">
        <v>18</v>
      </c>
      <c r="C27" s="5">
        <f>IF($G$16="Julio",'Multiplicando su Negocio'!$K$20*'Presupuesto Anual Franquicias'!D27/'Presupuesto Anual Franquicias'!$G$10,'Multiplicando su Negocio'!$K$20*'Presupuesto Anual Franquicias'!D27/'Presupuesto Anual Franquicias'!$G$10)</f>
        <v>12222.222222222223</v>
      </c>
      <c r="D27" s="15">
        <f>IF($G$16="Julio",$G$17,G27)</f>
        <v>10</v>
      </c>
      <c r="F27" s="6" t="str">
        <f t="shared" si="2"/>
        <v>Julio</v>
      </c>
      <c r="G27" s="42">
        <v>10</v>
      </c>
      <c r="H27" s="31"/>
      <c r="J27" s="14" t="s">
        <v>18</v>
      </c>
      <c r="K27" s="23">
        <f t="shared" si="3"/>
        <v>8555.5555555555547</v>
      </c>
      <c r="M27" s="14" t="s">
        <v>18</v>
      </c>
      <c r="N27" s="23">
        <f t="shared" si="4"/>
        <v>977.77777777777783</v>
      </c>
    </row>
    <row r="28" spans="2:14" x14ac:dyDescent="0.25">
      <c r="B28" s="14" t="s">
        <v>19</v>
      </c>
      <c r="C28" s="5">
        <f>IF($G$16="Agosto",'Multiplicando su Negocio'!$K$20*'Presupuesto Anual Franquicias'!D28/'Presupuesto Anual Franquicias'!$G$10,'Multiplicando su Negocio'!$K$20*'Presupuesto Anual Franquicias'!D28/'Presupuesto Anual Franquicias'!$G$10)</f>
        <v>9777.7777777777774</v>
      </c>
      <c r="D28" s="15">
        <f>IF($G$16="Agosto",$G$17,G28)</f>
        <v>8</v>
      </c>
      <c r="F28" s="6" t="str">
        <f t="shared" si="2"/>
        <v>Agosto</v>
      </c>
      <c r="G28" s="42">
        <v>8</v>
      </c>
      <c r="H28" s="31"/>
      <c r="J28" s="14" t="s">
        <v>19</v>
      </c>
      <c r="K28" s="23">
        <f t="shared" si="3"/>
        <v>6844.4444444444434</v>
      </c>
      <c r="M28" s="14" t="s">
        <v>19</v>
      </c>
      <c r="N28" s="23">
        <f t="shared" si="4"/>
        <v>782.22222222222217</v>
      </c>
    </row>
    <row r="29" spans="2:14" x14ac:dyDescent="0.25">
      <c r="B29" s="14" t="s">
        <v>20</v>
      </c>
      <c r="C29" s="5">
        <f>IF($G$16="Septiembre",'Multiplicando su Negocio'!$K$20*'Presupuesto Anual Franquicias'!D29/'Presupuesto Anual Franquicias'!$G$10,'Multiplicando su Negocio'!$K$20*'Presupuesto Anual Franquicias'!D29/'Presupuesto Anual Franquicias'!$G$10)</f>
        <v>4888.8888888888887</v>
      </c>
      <c r="D29" s="15">
        <f>IF($G$16="Septiembre",$G$17,G29)</f>
        <v>4</v>
      </c>
      <c r="F29" s="6" t="str">
        <f t="shared" si="2"/>
        <v>Septiembre</v>
      </c>
      <c r="G29" s="42">
        <v>4</v>
      </c>
      <c r="H29" s="31"/>
      <c r="J29" s="14" t="s">
        <v>20</v>
      </c>
      <c r="K29" s="23">
        <f t="shared" si="3"/>
        <v>3422.2222222222217</v>
      </c>
      <c r="M29" s="14" t="s">
        <v>20</v>
      </c>
      <c r="N29" s="23">
        <f t="shared" si="4"/>
        <v>391.11111111111109</v>
      </c>
    </row>
    <row r="30" spans="2:14" ht="14.45" customHeight="1" x14ac:dyDescent="0.25">
      <c r="B30" s="14" t="s">
        <v>21</v>
      </c>
      <c r="C30" s="5">
        <f>IF($G$16="Octubre",'Multiplicando su Negocio'!$K$20*'Presupuesto Anual Franquicias'!D30/'Presupuesto Anual Franquicias'!$G$10,'Multiplicando su Negocio'!$K$20*'Presupuesto Anual Franquicias'!D30/'Presupuesto Anual Franquicias'!$G$10)</f>
        <v>6111.1111111111113</v>
      </c>
      <c r="D30" s="15">
        <f>IF($G$16="Octubre",$G$17,G30)</f>
        <v>5</v>
      </c>
      <c r="F30" s="6" t="str">
        <f t="shared" si="2"/>
        <v>Octubre</v>
      </c>
      <c r="G30" s="42">
        <v>5</v>
      </c>
      <c r="H30" s="31"/>
      <c r="J30" s="14" t="s">
        <v>21</v>
      </c>
      <c r="K30" s="23">
        <f t="shared" si="3"/>
        <v>4277.7777777777774</v>
      </c>
      <c r="M30" s="14" t="s">
        <v>21</v>
      </c>
      <c r="N30" s="23">
        <f t="shared" si="4"/>
        <v>488.88888888888891</v>
      </c>
    </row>
    <row r="31" spans="2:14" x14ac:dyDescent="0.25">
      <c r="B31" s="14" t="s">
        <v>22</v>
      </c>
      <c r="C31" s="5">
        <f>IF($G$16="Noviembre",'Multiplicando su Negocio'!$K$20*'Presupuesto Anual Franquicias'!D31/'Presupuesto Anual Franquicias'!$G$10,'Multiplicando su Negocio'!$K$20*'Presupuesto Anual Franquicias'!D31/'Presupuesto Anual Franquicias'!$G$10)</f>
        <v>6111.1111111111113</v>
      </c>
      <c r="D31" s="15">
        <f>IF($G$16="Noviembre",$G$17,G31)</f>
        <v>5</v>
      </c>
      <c r="F31" s="6" t="str">
        <f t="shared" si="2"/>
        <v>Noviembre</v>
      </c>
      <c r="G31" s="42">
        <v>5</v>
      </c>
      <c r="H31" s="31"/>
      <c r="J31" s="14" t="s">
        <v>22</v>
      </c>
      <c r="K31" s="23">
        <f t="shared" si="3"/>
        <v>4277.7777777777774</v>
      </c>
      <c r="M31" s="14" t="s">
        <v>22</v>
      </c>
      <c r="N31" s="23">
        <f t="shared" si="4"/>
        <v>488.88888888888891</v>
      </c>
    </row>
    <row r="32" spans="2:14" x14ac:dyDescent="0.25">
      <c r="B32" s="14" t="s">
        <v>23</v>
      </c>
      <c r="C32" s="5">
        <f>IF($G$16="Diciembre",'Multiplicando su Negocio'!$K$20*'Presupuesto Anual Franquicias'!D32/'Presupuesto Anual Franquicias'!$G$10,'Multiplicando su Negocio'!$K$20*'Presupuesto Anual Franquicias'!D32/'Presupuesto Anual Franquicias'!$G$10)</f>
        <v>6111.1111111111113</v>
      </c>
      <c r="D32" s="15">
        <f>IF($G$16="Diciembre",$G$17,G32)</f>
        <v>5</v>
      </c>
      <c r="F32" s="6" t="str">
        <f t="shared" si="2"/>
        <v>Diciembre</v>
      </c>
      <c r="G32" s="42">
        <v>5</v>
      </c>
      <c r="H32" s="31"/>
      <c r="J32" s="14" t="s">
        <v>23</v>
      </c>
      <c r="K32" s="23">
        <f t="shared" si="3"/>
        <v>4277.7777777777774</v>
      </c>
      <c r="M32" s="14" t="s">
        <v>23</v>
      </c>
      <c r="N32" s="23">
        <f t="shared" si="4"/>
        <v>488.88888888888891</v>
      </c>
    </row>
    <row r="33" spans="2:14" x14ac:dyDescent="0.25">
      <c r="B33" s="84" t="s">
        <v>24</v>
      </c>
      <c r="C33" s="85">
        <f>SUM(C21:C32)</f>
        <v>111222.22222222222</v>
      </c>
      <c r="D33" s="86">
        <v>1</v>
      </c>
      <c r="J33" s="84" t="s">
        <v>24</v>
      </c>
      <c r="K33" s="99">
        <f>SUM(K21:K32)</f>
        <v>77855.555555555547</v>
      </c>
      <c r="M33" s="84" t="s">
        <v>24</v>
      </c>
      <c r="N33" s="99">
        <f>SUM(N21:N32)</f>
        <v>8897.7777777777774</v>
      </c>
    </row>
  </sheetData>
  <sheetProtection algorithmName="SHA-512" hashValue="zdASaE55motd+n/YqPeW6WcxdVh1qOxJrrsFbAJJ9R6Xpo428n/AQbrTa6HxlDdBPAfxhmde0igsaT/0wf+/1A==" saltValue="8kPmDC1DXvroKBQhH6OaUA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="85" zoomScaleNormal="85" workbookViewId="0">
      <selection activeCell="K11" sqref="K11"/>
    </sheetView>
  </sheetViews>
  <sheetFormatPr baseColWidth="10" defaultRowHeight="15" x14ac:dyDescent="0.25"/>
  <cols>
    <col min="1" max="1" width="6.42578125" customWidth="1"/>
    <col min="2" max="2" width="7.42578125" customWidth="1"/>
    <col min="4" max="4" width="12.140625" bestFit="1" customWidth="1"/>
    <col min="5" max="6" width="6.42578125" customWidth="1"/>
    <col min="7" max="7" width="3.42578125" customWidth="1"/>
    <col min="8" max="8" width="29.140625" customWidth="1"/>
    <col min="9" max="13" width="13.7109375" customWidth="1"/>
    <col min="14" max="14" width="13.7109375" hidden="1" customWidth="1"/>
    <col min="15" max="17" width="13.7109375" customWidth="1"/>
  </cols>
  <sheetData>
    <row r="1" spans="2:17" ht="26.25" x14ac:dyDescent="0.4">
      <c r="B1" s="134" t="str">
        <f>IF(Q7="SI","SU NEGOCIO PUEDE SER FRANQUICIADO","SU NEGOCIO NO PUEDE SER FRANQUICIADO")</f>
        <v>SU NEGOCIO PUEDE SER FRANQUICIADO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2:17" ht="7.9" customHeight="1" x14ac:dyDescent="0.25"/>
    <row r="3" spans="2:17" ht="21" x14ac:dyDescent="0.35">
      <c r="B3" s="97">
        <v>1</v>
      </c>
      <c r="C3" s="18" t="s">
        <v>71</v>
      </c>
      <c r="I3" s="97">
        <v>2</v>
      </c>
      <c r="J3" s="18" t="s">
        <v>73</v>
      </c>
      <c r="O3" s="18" t="s">
        <v>80</v>
      </c>
      <c r="P3" s="18"/>
      <c r="Q3" s="18"/>
    </row>
    <row r="4" spans="2:17" x14ac:dyDescent="0.25">
      <c r="B4" s="17" t="s">
        <v>72</v>
      </c>
      <c r="I4" s="17" t="s">
        <v>88</v>
      </c>
      <c r="O4" s="46" t="str">
        <f>IF((L21/L17)&gt;Q14,"Su negocio SI PUEDE SER FRANQUICIABLE.","Su negocio NO PUEDE SER FRANQUICIABLE.")</f>
        <v>Su negocio SI PUEDE SER FRANQUICIABLE.</v>
      </c>
    </row>
    <row r="5" spans="2:17" x14ac:dyDescent="0.25">
      <c r="I5" s="17" t="s">
        <v>90</v>
      </c>
      <c r="O5" s="46" t="str">
        <f>IF((L21/L17)&gt;15%,"Ventajas competitivas a multiplicar:","Lo que debemos analizar:")</f>
        <v>Ventajas competitivas a multiplicar:</v>
      </c>
    </row>
    <row r="6" spans="2:17" ht="15.75" x14ac:dyDescent="0.25">
      <c r="C6" s="135" t="s">
        <v>7</v>
      </c>
      <c r="D6" s="136"/>
      <c r="E6" s="136"/>
      <c r="F6" s="137"/>
      <c r="G6" s="53"/>
      <c r="I6" s="17" t="s">
        <v>89</v>
      </c>
    </row>
    <row r="7" spans="2:17" x14ac:dyDescent="0.25">
      <c r="C7" s="14" t="s">
        <v>9</v>
      </c>
      <c r="D7" s="5">
        <f>'Presupuesto Anual Franquicias'!C21</f>
        <v>9777.7777777777774</v>
      </c>
      <c r="E7" s="15">
        <f>'Presupuesto Anual Franquicias'!D21</f>
        <v>8</v>
      </c>
      <c r="F7" s="129" t="s">
        <v>10</v>
      </c>
      <c r="G7" s="54"/>
      <c r="O7" s="88"/>
      <c r="P7" s="89" t="s">
        <v>91</v>
      </c>
      <c r="Q7" s="95" t="str">
        <f>IF((L21/L17)&gt;15%,"SI","NO")</f>
        <v>SI</v>
      </c>
    </row>
    <row r="8" spans="2:17" x14ac:dyDescent="0.25">
      <c r="C8" s="14" t="s">
        <v>12</v>
      </c>
      <c r="D8" s="5">
        <f>'Presupuesto Anual Franquicias'!C22</f>
        <v>11000</v>
      </c>
      <c r="E8" s="15">
        <f>'Presupuesto Anual Franquicias'!D22</f>
        <v>9</v>
      </c>
      <c r="F8" s="129"/>
      <c r="G8" s="54"/>
      <c r="J8" s="131" t="s">
        <v>5</v>
      </c>
      <c r="K8" s="132"/>
      <c r="L8" s="133"/>
      <c r="O8" s="90"/>
      <c r="P8" s="91" t="s">
        <v>77</v>
      </c>
      <c r="Q8" s="47">
        <f>J30</f>
        <v>0.81481481481481477</v>
      </c>
    </row>
    <row r="9" spans="2:17" x14ac:dyDescent="0.25">
      <c r="C9" s="14" t="s">
        <v>13</v>
      </c>
      <c r="D9" s="5">
        <f>'Presupuesto Anual Franquicias'!C23</f>
        <v>11000</v>
      </c>
      <c r="E9" s="15">
        <f>'Presupuesto Anual Franquicias'!D23</f>
        <v>9</v>
      </c>
      <c r="F9" s="129"/>
      <c r="G9" s="54"/>
      <c r="J9" s="7" t="s">
        <v>0</v>
      </c>
      <c r="K9" s="8" t="s">
        <v>1</v>
      </c>
      <c r="L9" s="9" t="s">
        <v>2</v>
      </c>
      <c r="O9" s="90"/>
      <c r="P9" s="91" t="s">
        <v>139</v>
      </c>
      <c r="Q9" s="47">
        <f>J31</f>
        <v>1.833333333333333</v>
      </c>
    </row>
    <row r="10" spans="2:17" x14ac:dyDescent="0.25">
      <c r="C10" s="14" t="s">
        <v>15</v>
      </c>
      <c r="D10" s="5">
        <f>'Presupuesto Anual Franquicias'!C24</f>
        <v>9777.7777777777774</v>
      </c>
      <c r="E10" s="15">
        <f>'Presupuesto Anual Franquicias'!D24</f>
        <v>8</v>
      </c>
      <c r="F10" s="129"/>
      <c r="G10" s="54"/>
      <c r="J10" s="39">
        <f>'Multiplicando su Negocio'!D19</f>
        <v>1</v>
      </c>
      <c r="K10" s="10">
        <f>+J10+$K$11</f>
        <v>1</v>
      </c>
      <c r="L10" s="11">
        <f>+K10+$K$11</f>
        <v>1</v>
      </c>
      <c r="O10" s="90"/>
      <c r="P10" s="91" t="s">
        <v>135</v>
      </c>
      <c r="Q10" s="23">
        <f>J20</f>
        <v>611.11111111111109</v>
      </c>
    </row>
    <row r="11" spans="2:17" x14ac:dyDescent="0.25">
      <c r="C11" s="14" t="s">
        <v>16</v>
      </c>
      <c r="D11" s="5">
        <f>'Presupuesto Anual Franquicias'!C25</f>
        <v>12222.222222222223</v>
      </c>
      <c r="E11" s="15">
        <f>'Presupuesto Anual Franquicias'!D25</f>
        <v>10</v>
      </c>
      <c r="F11" s="129"/>
      <c r="G11" s="54"/>
      <c r="J11" s="12" t="s">
        <v>6</v>
      </c>
      <c r="K11" s="45">
        <v>0</v>
      </c>
      <c r="L11" s="13"/>
      <c r="O11" s="90"/>
      <c r="P11" s="91" t="s">
        <v>136</v>
      </c>
      <c r="Q11" s="47">
        <f>J26</f>
        <v>1.2222222222222221</v>
      </c>
    </row>
    <row r="12" spans="2:17" x14ac:dyDescent="0.25">
      <c r="C12" s="14" t="s">
        <v>17</v>
      </c>
      <c r="D12" s="5">
        <f>'Presupuesto Anual Franquicias'!C26</f>
        <v>12222.222222222223</v>
      </c>
      <c r="E12" s="15">
        <f>'Presupuesto Anual Franquicias'!D26</f>
        <v>10</v>
      </c>
      <c r="F12" s="129"/>
      <c r="G12" s="54"/>
      <c r="O12" s="90"/>
      <c r="P12" s="91" t="s">
        <v>137</v>
      </c>
      <c r="Q12" s="23">
        <f>Q10*E34</f>
        <v>134.44444444444449</v>
      </c>
    </row>
    <row r="13" spans="2:17" x14ac:dyDescent="0.25">
      <c r="C13" s="14" t="s">
        <v>18</v>
      </c>
      <c r="D13" s="5">
        <f>'Presupuesto Anual Franquicias'!C27</f>
        <v>12222.222222222223</v>
      </c>
      <c r="E13" s="15">
        <f>'Presupuesto Anual Franquicias'!D27</f>
        <v>10</v>
      </c>
      <c r="F13" s="129"/>
      <c r="G13" s="54"/>
      <c r="I13" s="17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90"/>
      <c r="P13" s="91" t="s">
        <v>78</v>
      </c>
      <c r="Q13" s="48">
        <f>Q12/Q10</f>
        <v>0.22000000000000008</v>
      </c>
    </row>
    <row r="14" spans="2:17" ht="18.75" x14ac:dyDescent="0.3">
      <c r="C14" s="14" t="s">
        <v>19</v>
      </c>
      <c r="D14" s="5">
        <f>'Presupuesto Anual Franquicias'!C28</f>
        <v>9777.7777777777774</v>
      </c>
      <c r="E14" s="15">
        <f>'Presupuesto Anual Franquicias'!D28</f>
        <v>8</v>
      </c>
      <c r="F14" s="129"/>
      <c r="G14" s="54"/>
      <c r="J14" s="130" t="s">
        <v>66</v>
      </c>
      <c r="K14" s="130"/>
      <c r="L14" s="130"/>
      <c r="O14" s="90"/>
      <c r="P14" s="91" t="s">
        <v>79</v>
      </c>
      <c r="Q14" s="49">
        <v>0.2</v>
      </c>
    </row>
    <row r="15" spans="2:17" x14ac:dyDescent="0.25">
      <c r="C15" s="14" t="s">
        <v>20</v>
      </c>
      <c r="D15" s="5">
        <f>'Presupuesto Anual Franquicias'!C29</f>
        <v>4888.8888888888887</v>
      </c>
      <c r="E15" s="15">
        <f>'Presupuesto Anual Franquicias'!D29</f>
        <v>4</v>
      </c>
      <c r="F15" s="129"/>
      <c r="G15" s="54"/>
      <c r="J15" s="138" t="s">
        <v>67</v>
      </c>
      <c r="K15" s="138"/>
      <c r="L15" s="138"/>
      <c r="O15" s="92"/>
      <c r="P15" s="93" t="str">
        <f>IF(Q13&gt;Q14,"Por arriba de la Industria:","Por debajo de la Industria:")</f>
        <v>Por arriba de la Industria:</v>
      </c>
      <c r="Q15" s="94">
        <f>Q13-Q14</f>
        <v>2.0000000000000073E-2</v>
      </c>
    </row>
    <row r="16" spans="2:17" x14ac:dyDescent="0.25">
      <c r="C16" s="14" t="s">
        <v>21</v>
      </c>
      <c r="D16" s="5">
        <f>'Presupuesto Anual Franquicias'!C30</f>
        <v>6111.1111111111113</v>
      </c>
      <c r="E16" s="15">
        <f>'Presupuesto Anual Franquicias'!D30</f>
        <v>5</v>
      </c>
      <c r="F16" s="129"/>
      <c r="G16" s="54"/>
      <c r="J16" s="1" t="s">
        <v>0</v>
      </c>
      <c r="K16" s="2" t="s">
        <v>1</v>
      </c>
      <c r="L16" s="3" t="s">
        <v>2</v>
      </c>
      <c r="N16" s="2" t="s">
        <v>100</v>
      </c>
    </row>
    <row r="17" spans="3:17" x14ac:dyDescent="0.25">
      <c r="C17" s="14" t="s">
        <v>22</v>
      </c>
      <c r="D17" s="5">
        <f>'Presupuesto Anual Franquicias'!C31</f>
        <v>6111.1111111111113</v>
      </c>
      <c r="E17" s="15">
        <f>'Presupuesto Anual Franquicias'!D31</f>
        <v>5</v>
      </c>
      <c r="F17" s="129"/>
      <c r="G17" s="54"/>
      <c r="H17" s="67"/>
      <c r="I17" s="68" t="s">
        <v>74</v>
      </c>
      <c r="J17" s="69">
        <f>MIN('Presupuesto Anual Franquicias'!$C$21:$C$32)</f>
        <v>4888.8888888888887</v>
      </c>
      <c r="K17" s="69">
        <f>AVERAGE(J17,L17)</f>
        <v>8555.5555555555547</v>
      </c>
      <c r="L17" s="69">
        <f>MAX('Presupuesto Anual Franquicias'!$C$21:$C$32)</f>
        <v>12222.222222222223</v>
      </c>
      <c r="N17" s="5">
        <f>N18*'Multiplicando su Negocio'!D28</f>
        <v>4888.8888888888887</v>
      </c>
    </row>
    <row r="18" spans="3:17" ht="21" x14ac:dyDescent="0.35">
      <c r="C18" s="71" t="s">
        <v>23</v>
      </c>
      <c r="D18" s="72">
        <f>'Presupuesto Anual Franquicias'!C32</f>
        <v>6111.1111111111113</v>
      </c>
      <c r="E18" s="73">
        <f>'Presupuesto Anual Franquicias'!D32</f>
        <v>5</v>
      </c>
      <c r="F18" s="129"/>
      <c r="G18" s="54"/>
      <c r="H18" s="67"/>
      <c r="I18" s="68" t="s">
        <v>75</v>
      </c>
      <c r="J18" s="69">
        <f>J19*'Multiplicando su Negocio'!$D$26</f>
        <v>1222.2222222222222</v>
      </c>
      <c r="K18" s="69">
        <f>K19*'Multiplicando su Negocio'!$D$26</f>
        <v>2138.8888888888887</v>
      </c>
      <c r="L18" s="69">
        <f>L19*'Multiplicando su Negocio'!$D$26</f>
        <v>3055.5555555555557</v>
      </c>
      <c r="N18" s="5">
        <f>N19*'Multiplicando su Negocio'!D26</f>
        <v>1222.2222222222222</v>
      </c>
      <c r="O18" s="18" t="s">
        <v>87</v>
      </c>
      <c r="P18" s="18"/>
      <c r="Q18" s="18"/>
    </row>
    <row r="19" spans="3:17" x14ac:dyDescent="0.25">
      <c r="C19" s="84" t="s">
        <v>24</v>
      </c>
      <c r="D19" s="85">
        <f>SUM(D7:D18)</f>
        <v>111222.22222222222</v>
      </c>
      <c r="E19" s="86">
        <v>1</v>
      </c>
      <c r="F19" s="87"/>
      <c r="G19" s="55"/>
      <c r="H19" s="67"/>
      <c r="I19" s="68" t="s">
        <v>76</v>
      </c>
      <c r="J19" s="69">
        <f>J20*'Multiplicando su Negocio'!$D$27</f>
        <v>611.11111111111109</v>
      </c>
      <c r="K19" s="69">
        <f>K20*'Multiplicando su Negocio'!$D$27</f>
        <v>1069.4444444444443</v>
      </c>
      <c r="L19" s="69">
        <f>L20*'Multiplicando su Negocio'!$D$27</f>
        <v>1527.7777777777778</v>
      </c>
      <c r="N19" s="5">
        <f>J20*'Multiplicando su Negocio'!D27</f>
        <v>611.11111111111109</v>
      </c>
      <c r="O19" s="17" t="s">
        <v>92</v>
      </c>
      <c r="P19" s="46"/>
    </row>
    <row r="20" spans="3:17" x14ac:dyDescent="0.25">
      <c r="H20" s="67"/>
      <c r="I20" s="82" t="s">
        <v>76</v>
      </c>
      <c r="J20" s="83">
        <f>J22*J26</f>
        <v>611.11111111111109</v>
      </c>
      <c r="K20" s="83">
        <f>K22*K26</f>
        <v>1069.4444444444443</v>
      </c>
      <c r="L20" s="83">
        <f>L22*L26</f>
        <v>1527.7777777777778</v>
      </c>
      <c r="N20" s="5">
        <f>N19/'Multiplicando su Negocio'!D27</f>
        <v>611.11111111111109</v>
      </c>
      <c r="O20" s="17" t="s">
        <v>93</v>
      </c>
    </row>
    <row r="21" spans="3:17" ht="15.75" x14ac:dyDescent="0.25">
      <c r="C21" s="135" t="s">
        <v>8</v>
      </c>
      <c r="D21" s="136"/>
      <c r="E21" s="136"/>
      <c r="F21" s="137"/>
      <c r="G21" s="53"/>
      <c r="H21" s="59"/>
      <c r="I21" s="58" t="s">
        <v>3</v>
      </c>
      <c r="J21" s="60">
        <f>+J17*'Presupuesto Anual Franquicias'!$P$10</f>
        <v>1075.5555555555559</v>
      </c>
      <c r="K21" s="60">
        <f>+K17*'Presupuesto Anual Franquicias'!$P$10</f>
        <v>1882.2222222222229</v>
      </c>
      <c r="L21" s="60">
        <f>+L17*'Presupuesto Anual Franquicias'!$P$10</f>
        <v>2688.8888888888901</v>
      </c>
      <c r="O21" s="88"/>
      <c r="P21" s="89" t="s">
        <v>85</v>
      </c>
      <c r="Q21" s="50">
        <v>0</v>
      </c>
    </row>
    <row r="22" spans="3:17" ht="14.45" customHeight="1" x14ac:dyDescent="0.25">
      <c r="C22" s="14" t="s">
        <v>9</v>
      </c>
      <c r="D22" s="5">
        <f>D7*$E$34</f>
        <v>2151.1111111111118</v>
      </c>
      <c r="E22" s="15">
        <f t="shared" ref="E22:E33" si="0">E7</f>
        <v>8</v>
      </c>
      <c r="F22" s="129" t="s">
        <v>11</v>
      </c>
      <c r="G22" s="54"/>
      <c r="H22" s="59"/>
      <c r="I22" s="58" t="s">
        <v>4</v>
      </c>
      <c r="J22" s="60">
        <f>'Multiplicando su Negocio'!$D$10</f>
        <v>500</v>
      </c>
      <c r="K22" s="60">
        <f>J22-(J22*$K$11)</f>
        <v>500</v>
      </c>
      <c r="L22" s="60">
        <f>K22-(K22*$K$11)</f>
        <v>500</v>
      </c>
      <c r="O22" s="90"/>
      <c r="P22" s="91" t="s">
        <v>81</v>
      </c>
      <c r="Q22" s="23">
        <f>J17*Q21</f>
        <v>0</v>
      </c>
    </row>
    <row r="23" spans="3:17" x14ac:dyDescent="0.25">
      <c r="C23" s="14" t="s">
        <v>12</v>
      </c>
      <c r="D23" s="5">
        <f t="shared" ref="D23:D33" si="1">D8*$E$34</f>
        <v>2420.0000000000009</v>
      </c>
      <c r="E23" s="15">
        <f t="shared" si="0"/>
        <v>9</v>
      </c>
      <c r="F23" s="129"/>
      <c r="G23" s="54"/>
      <c r="H23" s="51"/>
      <c r="I23" s="52" t="s">
        <v>94</v>
      </c>
      <c r="J23" s="56">
        <f>J17/J22</f>
        <v>9.7777777777777768</v>
      </c>
      <c r="K23" s="56">
        <f>K17/K22</f>
        <v>17.111111111111111</v>
      </c>
      <c r="L23" s="56">
        <f>L17/L22</f>
        <v>24.444444444444446</v>
      </c>
      <c r="N23" s="5"/>
      <c r="O23" s="90"/>
      <c r="P23" s="91" t="s">
        <v>83</v>
      </c>
      <c r="Q23" s="11">
        <v>0.05</v>
      </c>
    </row>
    <row r="24" spans="3:17" x14ac:dyDescent="0.25">
      <c r="C24" s="14" t="s">
        <v>13</v>
      </c>
      <c r="D24" s="5">
        <f t="shared" si="1"/>
        <v>2420.0000000000009</v>
      </c>
      <c r="E24" s="15">
        <f t="shared" si="0"/>
        <v>9</v>
      </c>
      <c r="F24" s="129"/>
      <c r="G24" s="54"/>
      <c r="H24" s="51"/>
      <c r="I24" s="52" t="s">
        <v>95</v>
      </c>
      <c r="J24" s="56">
        <f>J23/'Multiplicando su Negocio'!$D$28</f>
        <v>2.4444444444444442</v>
      </c>
      <c r="K24" s="56">
        <f>K23/'Multiplicando su Negocio'!$D$28</f>
        <v>4.2777777777777777</v>
      </c>
      <c r="L24" s="56">
        <f>L23/'Multiplicando su Negocio'!$D$28</f>
        <v>6.1111111111111116</v>
      </c>
      <c r="N24" s="5">
        <f>J23*$J$22</f>
        <v>4888.8888888888887</v>
      </c>
      <c r="O24" s="90"/>
      <c r="P24" s="91" t="s">
        <v>82</v>
      </c>
      <c r="Q24" s="23">
        <f>Q22*Q23</f>
        <v>0</v>
      </c>
    </row>
    <row r="25" spans="3:17" x14ac:dyDescent="0.25">
      <c r="C25" s="14" t="s">
        <v>15</v>
      </c>
      <c r="D25" s="5">
        <f t="shared" si="1"/>
        <v>2151.1111111111118</v>
      </c>
      <c r="E25" s="15">
        <f t="shared" si="0"/>
        <v>8</v>
      </c>
      <c r="F25" s="129"/>
      <c r="G25" s="54"/>
      <c r="H25" s="51"/>
      <c r="I25" s="52" t="s">
        <v>96</v>
      </c>
      <c r="J25" s="56">
        <f>J24/'Multiplicando su Negocio'!$D$26</f>
        <v>1.2222222222222221</v>
      </c>
      <c r="K25" s="56">
        <f>K24/'Multiplicando su Negocio'!$D$26</f>
        <v>2.1388888888888888</v>
      </c>
      <c r="L25" s="56">
        <f>L24/'Multiplicando su Negocio'!$D$26</f>
        <v>3.0555555555555558</v>
      </c>
      <c r="N25" s="5">
        <f>J24*$J$22</f>
        <v>1222.2222222222222</v>
      </c>
      <c r="O25" s="90"/>
      <c r="P25" s="91" t="s">
        <v>84</v>
      </c>
      <c r="Q25" s="47">
        <v>15</v>
      </c>
    </row>
    <row r="26" spans="3:17" x14ac:dyDescent="0.25">
      <c r="C26" s="14" t="s">
        <v>16</v>
      </c>
      <c r="D26" s="5">
        <f t="shared" si="1"/>
        <v>2688.8888888888901</v>
      </c>
      <c r="E26" s="15">
        <f t="shared" si="0"/>
        <v>10</v>
      </c>
      <c r="F26" s="129"/>
      <c r="G26" s="54"/>
      <c r="H26" s="51"/>
      <c r="I26" s="78" t="s">
        <v>96</v>
      </c>
      <c r="J26" s="79">
        <f>J25/'Multiplicando su Negocio'!$D$27</f>
        <v>1.2222222222222221</v>
      </c>
      <c r="K26" s="79">
        <f>K25/'Multiplicando su Negocio'!$D$27</f>
        <v>2.1388888888888888</v>
      </c>
      <c r="L26" s="79">
        <f>L25/'Multiplicando su Negocio'!$D$27</f>
        <v>3.0555555555555558</v>
      </c>
      <c r="N26" s="5">
        <f>J25*$J$22</f>
        <v>611.11111111111109</v>
      </c>
      <c r="O26" s="92"/>
      <c r="P26" s="93" t="s">
        <v>86</v>
      </c>
      <c r="Q26" s="96">
        <f>Q24*Q25</f>
        <v>0</v>
      </c>
    </row>
    <row r="27" spans="3:17" x14ac:dyDescent="0.25">
      <c r="C27" s="14" t="s">
        <v>17</v>
      </c>
      <c r="D27" s="5">
        <f t="shared" si="1"/>
        <v>2688.8888888888901</v>
      </c>
      <c r="E27" s="15">
        <f t="shared" si="0"/>
        <v>10</v>
      </c>
      <c r="F27" s="129"/>
      <c r="G27" s="54"/>
      <c r="H27" s="62"/>
      <c r="I27" s="61" t="s">
        <v>97</v>
      </c>
      <c r="J27" s="63">
        <f>J28*'Multiplicando su Negocio'!$D$28</f>
        <v>6.5185185185185182</v>
      </c>
      <c r="K27" s="63">
        <f>K28*'Multiplicando su Negocio'!$D$28</f>
        <v>11.407407407407407</v>
      </c>
      <c r="L27" s="63">
        <f>L28*'Multiplicando su Negocio'!$D$28</f>
        <v>16.296296296296298</v>
      </c>
      <c r="N27" s="5">
        <f>J26*$J$22</f>
        <v>611.11111111111109</v>
      </c>
    </row>
    <row r="28" spans="3:17" x14ac:dyDescent="0.25">
      <c r="C28" s="14" t="s">
        <v>18</v>
      </c>
      <c r="D28" s="5">
        <f t="shared" si="1"/>
        <v>2688.8888888888901</v>
      </c>
      <c r="E28" s="15">
        <f t="shared" si="0"/>
        <v>10</v>
      </c>
      <c r="F28" s="129"/>
      <c r="G28" s="54"/>
      <c r="H28" s="62"/>
      <c r="I28" s="61" t="s">
        <v>98</v>
      </c>
      <c r="J28" s="63">
        <f>J29*'Multiplicando su Negocio'!$D$26</f>
        <v>1.6296296296296295</v>
      </c>
      <c r="K28" s="63">
        <f>K29*'Multiplicando su Negocio'!$D$26</f>
        <v>2.8518518518518516</v>
      </c>
      <c r="L28" s="63">
        <f>L29*'Multiplicando su Negocio'!$D$26</f>
        <v>4.0740740740740744</v>
      </c>
      <c r="N28" s="5">
        <f>(J27*$J$22)*'Multiplicando su Negocio'!$D$29</f>
        <v>4888.8888888888887</v>
      </c>
    </row>
    <row r="29" spans="3:17" x14ac:dyDescent="0.25">
      <c r="C29" s="14" t="s">
        <v>19</v>
      </c>
      <c r="D29" s="5">
        <f t="shared" si="1"/>
        <v>2151.1111111111118</v>
      </c>
      <c r="E29" s="15">
        <f t="shared" si="0"/>
        <v>8</v>
      </c>
      <c r="F29" s="129"/>
      <c r="G29" s="54"/>
      <c r="H29" s="62"/>
      <c r="I29" s="61" t="s">
        <v>99</v>
      </c>
      <c r="J29" s="63">
        <f>J30*'Multiplicando su Negocio'!$D$27</f>
        <v>0.81481481481481477</v>
      </c>
      <c r="K29" s="63">
        <f>K30*'Multiplicando su Negocio'!$D$27</f>
        <v>1.4259259259259258</v>
      </c>
      <c r="L29" s="63">
        <f>L30*'Multiplicando su Negocio'!$D$27</f>
        <v>2.0370370370370372</v>
      </c>
      <c r="N29" s="5">
        <f>(J28*$J$22)*'Multiplicando su Negocio'!$D$29</f>
        <v>1222.2222222222222</v>
      </c>
    </row>
    <row r="30" spans="3:17" x14ac:dyDescent="0.25">
      <c r="C30" s="14" t="s">
        <v>20</v>
      </c>
      <c r="D30" s="5">
        <f t="shared" si="1"/>
        <v>1075.5555555555559</v>
      </c>
      <c r="E30" s="15">
        <f t="shared" si="0"/>
        <v>4</v>
      </c>
      <c r="F30" s="129"/>
      <c r="G30" s="54"/>
      <c r="H30" s="62"/>
      <c r="I30" s="80" t="s">
        <v>99</v>
      </c>
      <c r="J30" s="81">
        <f>J26/'Multiplicando su Negocio'!$D$29</f>
        <v>0.81481481481481477</v>
      </c>
      <c r="K30" s="81">
        <f>K26/'Multiplicando su Negocio'!$D$29</f>
        <v>1.4259259259259258</v>
      </c>
      <c r="L30" s="81">
        <f>L26/'Multiplicando su Negocio'!$D$29</f>
        <v>2.0370370370370372</v>
      </c>
      <c r="N30" s="5">
        <f>(J29*$J$22)*'Multiplicando su Negocio'!$D$29</f>
        <v>611.11111111111109</v>
      </c>
    </row>
    <row r="31" spans="3:17" x14ac:dyDescent="0.25">
      <c r="C31" s="14" t="s">
        <v>21</v>
      </c>
      <c r="D31" s="5">
        <f t="shared" si="1"/>
        <v>1344.444444444445</v>
      </c>
      <c r="E31" s="15">
        <f t="shared" si="0"/>
        <v>5</v>
      </c>
      <c r="F31" s="129"/>
      <c r="G31" s="54"/>
      <c r="H31" s="65"/>
      <c r="I31" s="57" t="s">
        <v>138</v>
      </c>
      <c r="J31" s="64">
        <f>J26*'Multiplicando su Negocio'!$D$29</f>
        <v>1.833333333333333</v>
      </c>
      <c r="K31" s="64">
        <f>K26*'Multiplicando su Negocio'!$D$29</f>
        <v>3.208333333333333</v>
      </c>
      <c r="L31" s="64">
        <f>L26*'Multiplicando su Negocio'!$D$29</f>
        <v>4.5833333333333339</v>
      </c>
      <c r="N31" s="5">
        <f>(J30*$J$22)*'Multiplicando su Negocio'!$D$29</f>
        <v>611.11111111111109</v>
      </c>
    </row>
    <row r="32" spans="3:17" x14ac:dyDescent="0.25">
      <c r="C32" s="14" t="s">
        <v>22</v>
      </c>
      <c r="D32" s="5">
        <f t="shared" si="1"/>
        <v>1344.444444444445</v>
      </c>
      <c r="E32" s="15">
        <f t="shared" si="0"/>
        <v>5</v>
      </c>
      <c r="F32" s="129"/>
      <c r="G32" s="54"/>
      <c r="H32" s="65"/>
      <c r="I32" s="57" t="s">
        <v>134</v>
      </c>
      <c r="J32" s="66">
        <f>J31*'Multiplicando su Negocio'!$D$27</f>
        <v>1.833333333333333</v>
      </c>
      <c r="K32" s="66">
        <f>K31*'Multiplicando su Negocio'!$D$27</f>
        <v>3.208333333333333</v>
      </c>
      <c r="L32" s="66">
        <f>L31*'Multiplicando su Negocio'!$D$27</f>
        <v>4.5833333333333339</v>
      </c>
    </row>
    <row r="33" spans="3:7" x14ac:dyDescent="0.25">
      <c r="C33" s="14" t="s">
        <v>23</v>
      </c>
      <c r="D33" s="5">
        <f t="shared" si="1"/>
        <v>1344.444444444445</v>
      </c>
      <c r="E33" s="15">
        <f t="shared" si="0"/>
        <v>5</v>
      </c>
      <c r="F33" s="129"/>
      <c r="G33" s="54"/>
    </row>
    <row r="34" spans="3:7" x14ac:dyDescent="0.25">
      <c r="C34" s="84" t="s">
        <v>24</v>
      </c>
      <c r="D34" s="85">
        <f>SUM(D22:D33)</f>
        <v>24468.888888888901</v>
      </c>
      <c r="E34" s="86">
        <f>'Presupuesto Anual Franquicias'!P10</f>
        <v>0.22000000000000008</v>
      </c>
      <c r="F34" s="87"/>
      <c r="G34" s="55"/>
    </row>
  </sheetData>
  <sheetProtection algorithmName="SHA-512" hashValue="2ru5cBDlqe7IVOKLDxFO3epS3KVadnJ0LmjuepeME7UVd7oR+6vDw9K7NL4P/fuWtAel3tzGty9qKhUHETnkdw==" saltValue="J5TnVphycEvT5YUUuzxib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Gabriela Latino</cp:lastModifiedBy>
  <dcterms:created xsi:type="dcterms:W3CDTF">2022-07-23T21:38:48Z</dcterms:created>
  <dcterms:modified xsi:type="dcterms:W3CDTF">2025-02-15T01:02:10Z</dcterms:modified>
</cp:coreProperties>
</file>