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933710F5-48D7-4566-AC41-2BDE2A63D7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" l="1"/>
  <c r="D10" i="5"/>
  <c r="J10" i="1" l="1"/>
  <c r="L10" i="5" l="1"/>
  <c r="M7" i="5" s="1"/>
  <c r="K10" i="5"/>
  <c r="K15" i="5" s="1"/>
  <c r="D29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15" i="1" l="1"/>
  <c r="E16" i="1"/>
  <c r="E12" i="1"/>
  <c r="E17" i="1"/>
  <c r="E9" i="1"/>
  <c r="E11" i="1"/>
  <c r="E7" i="1"/>
  <c r="E8" i="1"/>
  <c r="E13" i="1"/>
  <c r="E18" i="1"/>
  <c r="D24" i="6"/>
  <c r="D28" i="6"/>
  <c r="J26" i="5"/>
  <c r="J20" i="5"/>
  <c r="E8" i="6" s="1"/>
  <c r="E10" i="1" l="1"/>
  <c r="E14" i="1"/>
  <c r="D20" i="5"/>
  <c r="D18" i="5" l="1"/>
  <c r="K20" i="5" s="1"/>
  <c r="C29" i="6" l="1"/>
  <c r="D15" i="1" s="1"/>
  <c r="C26" i="6"/>
  <c r="D12" i="1" s="1"/>
  <c r="C23" i="6"/>
  <c r="D9" i="1" s="1"/>
  <c r="C21" i="6"/>
  <c r="D7" i="1" s="1"/>
  <c r="C31" i="6"/>
  <c r="D17" i="1" s="1"/>
  <c r="C22" i="6"/>
  <c r="D8" i="1" s="1"/>
  <c r="C32" i="6"/>
  <c r="D18" i="1" s="1"/>
  <c r="C27" i="6"/>
  <c r="D13" i="1" s="1"/>
  <c r="C30" i="6"/>
  <c r="D16" i="1" s="1"/>
  <c r="C25" i="6"/>
  <c r="D11" i="1" s="1"/>
  <c r="C24" i="6"/>
  <c r="D10" i="1" s="1"/>
  <c r="C28" i="6"/>
  <c r="D14" i="1" s="1"/>
  <c r="J22" i="1"/>
  <c r="K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22" i="1" l="1"/>
  <c r="L10" i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2" i="1" l="1"/>
  <c r="D29" i="1"/>
  <c r="D28" i="1"/>
  <c r="D26" i="1"/>
  <c r="D32" i="1"/>
  <c r="D25" i="1"/>
  <c r="D31" i="1"/>
  <c r="D33" i="1"/>
  <c r="D23" i="1"/>
  <c r="D27" i="1"/>
  <c r="D30" i="1"/>
  <c r="D24" i="1"/>
  <c r="J26" i="1"/>
  <c r="N27" i="1" s="1"/>
  <c r="L21" i="1"/>
  <c r="J21" i="1"/>
  <c r="K21" i="1"/>
  <c r="Q7" i="1" l="1"/>
  <c r="B1" i="1" s="1"/>
  <c r="J31" i="1"/>
  <c r="J30" i="1"/>
  <c r="N31" i="1" s="1"/>
  <c r="Q12" i="1"/>
  <c r="J20" i="1"/>
  <c r="N19" i="1" s="1"/>
  <c r="O4" i="1"/>
  <c r="O5" i="1"/>
  <c r="I13" i="1" l="1"/>
  <c r="N18" i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<sst xmlns="http://schemas.openxmlformats.org/spreadsheetml/2006/main" count="224" uniqueCount="147">
  <si>
    <t>BAJO</t>
  </si>
  <si>
    <t>MEDIO</t>
  </si>
  <si>
    <t>ALTO</t>
  </si>
  <si>
    <t>Comida Rápida</t>
  </si>
  <si>
    <t>ganancias netas mes</t>
  </si>
  <si>
    <t>Comida Ejecutiva</t>
  </si>
  <si>
    <t>ticket promedio</t>
  </si>
  <si>
    <t>Comida a la Carta</t>
  </si>
  <si>
    <t>Ocupación de Mesas/Temporada</t>
  </si>
  <si>
    <t>Aumento</t>
  </si>
  <si>
    <t>ocupación mesas/temporada/día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</si>
  <si>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</si>
  <si>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</si>
  <si>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</si>
  <si>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</si>
  <si>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</si>
  <si>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</si>
  <si>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</si>
  <si>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</si>
  <si>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</si>
  <si>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</si>
  <si>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</si>
  <si>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</si>
  <si>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</si>
  <si>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</si>
  <si>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</si>
  <si>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</si>
  <si>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</si>
  <si>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</si>
  <si>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</si>
  <si>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</si>
  <si>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Sillas</t>
  </si>
  <si>
    <t>Sillas por Mesa</t>
  </si>
  <si>
    <t>Ticket Promedio</t>
  </si>
  <si>
    <t>Elija por favor solamente el giro principal de su restaurante.</t>
  </si>
  <si>
    <t>Examinando su capacidad de atención</t>
  </si>
  <si>
    <t>¿Cuántas semanas al mes abre?</t>
  </si>
  <si>
    <t>(Capacidad Instalada Total) Mesas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</si>
  <si>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</si>
  <si>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</si>
  <si>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</si>
  <si>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</si>
  <si>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Platos y Bebidas a vender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</si>
  <si>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</si>
  <si>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</si>
  <si>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</si>
  <si>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</si>
  <si>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</si>
  <si>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</si>
  <si>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</si>
  <si>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</si>
  <si>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En general, del 100% de mesas, ¿cuántas se ocupan al día?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</si>
  <si>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</si>
  <si>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</si>
  <si>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</si>
  <si>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</si>
  <si>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</si>
  <si>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</si>
  <si>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</si>
  <si>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</si>
  <si>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</si>
  <si>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</si>
  <si>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</si>
  <si>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</si>
  <si>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</si>
  <si>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</si>
  <si>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</si>
  <si>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</si>
  <si>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</si>
  <si>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</si>
  <si>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</si>
  <si>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</si>
  <si>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</si>
  <si>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</si>
  <si>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</si>
  <si>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</si>
  <si>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</si>
  <si>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</si>
  <si>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</si>
  <si>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</si>
  <si>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</si>
  <si>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Cálculo promedio del precio de venta</t>
  </si>
  <si>
    <t>Precio de venta más alto</t>
  </si>
  <si>
    <t>Precio de venta más bajo</t>
  </si>
  <si>
    <t>Precio de venta medio</t>
  </si>
  <si>
    <t>¿Cuántos platos en el menú?</t>
  </si>
  <si>
    <t>Identificaremos cuántos platos tiene su menú y cantidades que vende al día.</t>
  </si>
  <si>
    <t>Solamente poner los platos comunes de ventas, no los especiales.</t>
  </si>
  <si>
    <t>Precio promedio de venta</t>
  </si>
  <si>
    <t>PLATOS</t>
  </si>
  <si>
    <t>BEBIDAS</t>
  </si>
  <si>
    <t>Ticket Promedio por Persona</t>
  </si>
  <si>
    <t>productividad/mesa/día-productos</t>
  </si>
  <si>
    <t>Nota: EBITDA es un resultado de ganancias antes de impuestos, amortizaciones y depreciaciones.</t>
  </si>
  <si>
    <t>Ingresos versus Ganancias por mes, anual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</si>
  <si>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</si>
  <si>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</si>
  <si>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</si>
  <si>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</si>
  <si>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</si>
  <si>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</si>
  <si>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</si>
  <si>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Productos por Hora/Mesa: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</si>
  <si>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</si>
  <si>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</si>
  <si>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</si>
  <si>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</si>
  <si>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</si>
  <si>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</si>
  <si>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</si>
  <si>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</si>
  <si>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</si>
  <si>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</si>
  <si>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</si>
  <si>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</si>
  <si>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</si>
  <si>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</si>
  <si>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</si>
  <si>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</si>
  <si>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</si>
  <si>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</si>
  <si>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</si>
  <si>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</si>
  <si>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</si>
  <si>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</si>
  <si>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</si>
  <si>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</si>
  <si>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</si>
  <si>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</si>
  <si>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</si>
  <si>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</si>
  <si>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</si>
  <si>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</si>
  <si>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</si>
  <si>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Capacidad Servicio Clientes por Día (mesas que se ocupan)</t>
  </si>
  <si>
    <t>Conforme 1 año de ventas, elija el mes que por experiencia calificaría como el más bajo en ventas.</t>
  </si>
  <si>
    <t>Ventas Medias</t>
  </si>
  <si>
    <t>Procurar primero repetir los valores elegidos antes:</t>
  </si>
  <si>
    <t>Conforme al puntaje calificado arriba, describa por favor qué tipo de ventas es (bajas, medias o altas):</t>
  </si>
  <si>
    <t>Analice cuánto ingresará sus franquicias al mes y cuánto ganarán.</t>
  </si>
  <si>
    <t>Comportamiento Potencial de sus Franquicias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</si>
  <si>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</si>
  <si>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</si>
  <si>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</si>
  <si>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</si>
  <si>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</si>
  <si>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 xml:space="preserve">de las ventas (ventas por temporadas altas, medias y bajas) acorde a su giro de negocio actual.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</si>
</sst>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1" fillId="5" borderId="1" xfId="0" applyFont="1" applyFill="1" applyBorder="1" applyAlignment="1">
      <alignment horizontal="right"/>
    </xf>
    <xf numFmtId="164" fontId="1" fillId="5" borderId="3" xfId="0" applyNumberFormat="1" applyFont="1" applyFill="1" applyBorder="1"/>
    <xf numFmtId="164" fontId="1" fillId="5" borderId="2" xfId="0" applyNumberFormat="1" applyFont="1" applyFill="1" applyBorder="1"/>
    <xf numFmtId="9" fontId="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164" fontId="20" fillId="5" borderId="0" xfId="0" applyNumberFormat="1" applyFont="1" applyFill="1" applyBorder="1"/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8" borderId="0" xfId="0" applyFill="1"/>
    <xf numFmtId="0" fontId="17" fillId="8" borderId="0" xfId="0" applyFont="1" applyFill="1" applyBorder="1" applyAlignment="1">
      <alignment horizontal="right"/>
    </xf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/>
    </xf>
    <xf numFmtId="164" fontId="22" fillId="8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9" borderId="0" xfId="0" applyFont="1" applyFill="1" applyBorder="1" applyAlignment="1"/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8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1" fillId="5" borderId="8" xfId="0" applyNumberFormat="1" applyFon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0" fontId="0" fillId="6" borderId="0" xfId="0" applyFill="1" applyAlignment="1" applyProtection="1">
      <alignment horizontal="center"/>
      <protection locked="0"/>
    </xf>
    <xf numFmtId="1" fontId="0" fillId="6" borderId="0" xfId="0" applyNumberFormat="1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9" fontId="2" fillId="6" borderId="0" xfId="0" applyNumberFormat="1" applyFont="1" applyFill="1" applyAlignment="1" applyProtection="1">
      <alignment horizontal="center"/>
      <protection locked="0"/>
    </xf>
    <xf numFmtId="164" fontId="0" fillId="6" borderId="0" xfId="0" applyNumberFormat="1" applyFill="1" applyBorder="1" applyProtection="1">
      <protection locked="0"/>
    </xf>
    <xf numFmtId="9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9" fontId="0" fillId="6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0" fontId="21" fillId="5" borderId="11" xfId="0" applyFont="1" applyFill="1" applyBorder="1"/>
    <xf numFmtId="0" fontId="1" fillId="5" borderId="12" xfId="0" applyFont="1" applyFill="1" applyBorder="1" applyAlignment="1">
      <alignment horizontal="right"/>
    </xf>
    <xf numFmtId="0" fontId="21" fillId="5" borderId="4" xfId="0" applyFont="1" applyFill="1" applyBorder="1"/>
    <xf numFmtId="0" fontId="1" fillId="5" borderId="0" xfId="0" applyFont="1" applyFill="1" applyBorder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0" fontId="21" fillId="5" borderId="6" xfId="0" applyFont="1" applyFill="1" applyBorder="1"/>
    <xf numFmtId="0" fontId="1" fillId="5" borderId="7" xfId="0" applyFont="1" applyFill="1" applyBorder="1" applyAlignment="1">
      <alignment horizontal="right"/>
    </xf>
    <xf numFmtId="9" fontId="0" fillId="6" borderId="10" xfId="0" applyNumberFormat="1" applyFill="1" applyBorder="1" applyAlignment="1" applyProtection="1">
      <alignment horizontal="center"/>
      <protection locked="0"/>
    </xf>
    <xf numFmtId="164" fontId="1" fillId="5" borderId="8" xfId="0" applyNumberFormat="1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8" xfId="3" applyNumberFormat="1" applyFont="1" applyFill="1" applyBorder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1" fontId="2" fillId="11" borderId="0" xfId="0" applyNumberFormat="1" applyFont="1" applyFill="1" applyAlignment="1">
      <alignment horizontal="center"/>
    </xf>
    <xf numFmtId="166" fontId="2" fillId="10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7" fillId="12" borderId="0" xfId="0" applyFont="1" applyFill="1" applyBorder="1" applyAlignment="1">
      <alignment horizontal="right"/>
    </xf>
    <xf numFmtId="0" fontId="14" fillId="12" borderId="0" xfId="0" applyFont="1" applyFill="1" applyBorder="1" applyAlignment="1">
      <alignment horizontal="right"/>
    </xf>
    <xf numFmtId="0" fontId="14" fillId="12" borderId="0" xfId="0" applyFont="1" applyFill="1" applyBorder="1" applyAlignment="1">
      <alignment horizontal="left"/>
    </xf>
    <xf numFmtId="0" fontId="10" fillId="12" borderId="4" xfId="0" applyFont="1" applyFill="1" applyBorder="1"/>
    <xf numFmtId="0" fontId="0" fillId="12" borderId="0" xfId="0" applyFill="1" applyBorder="1"/>
    <xf numFmtId="0" fontId="0" fillId="12" borderId="5" xfId="0" applyFill="1" applyBorder="1"/>
    <xf numFmtId="0" fontId="0" fillId="12" borderId="4" xfId="0" applyFill="1" applyBorder="1"/>
    <xf numFmtId="3" fontId="15" fillId="12" borderId="0" xfId="0" applyNumberFormat="1" applyFont="1" applyFill="1" applyBorder="1" applyAlignment="1">
      <alignment horizontal="center"/>
    </xf>
    <xf numFmtId="0" fontId="0" fillId="12" borderId="6" xfId="0" applyFill="1" applyBorder="1"/>
    <xf numFmtId="0" fontId="0" fillId="12" borderId="7" xfId="0" applyFill="1" applyBorder="1"/>
    <xf numFmtId="0" fontId="14" fillId="12" borderId="7" xfId="0" applyFont="1" applyFill="1" applyBorder="1" applyAlignment="1">
      <alignment horizontal="right"/>
    </xf>
    <xf numFmtId="3" fontId="15" fillId="12" borderId="7" xfId="0" applyNumberFormat="1" applyFont="1" applyFill="1" applyBorder="1" applyAlignment="1">
      <alignment horizontal="center"/>
    </xf>
    <xf numFmtId="0" fontId="14" fillId="12" borderId="7" xfId="0" applyFont="1" applyFill="1" applyBorder="1" applyAlignment="1">
      <alignment horizontal="left"/>
    </xf>
    <xf numFmtId="0" fontId="0" fillId="12" borderId="8" xfId="0" applyFill="1" applyBorder="1"/>
    <xf numFmtId="164" fontId="11" fillId="12" borderId="0" xfId="0" applyNumberFormat="1" applyFont="1" applyFill="1" applyBorder="1"/>
    <xf numFmtId="3" fontId="11" fillId="12" borderId="0" xfId="0" applyNumberFormat="1" applyFont="1" applyFill="1" applyBorder="1" applyAlignment="1">
      <alignment horizontal="center"/>
    </xf>
    <xf numFmtId="0" fontId="16" fillId="0" borderId="0" xfId="0" applyFont="1"/>
    <xf numFmtId="0" fontId="26" fillId="0" borderId="0" xfId="0" applyFont="1" applyAlignment="1">
      <alignment vertical="center"/>
    </xf>
    <xf numFmtId="0" fontId="10" fillId="12" borderId="11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13" fillId="9" borderId="0" xfId="0" applyFont="1" applyFill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https://www.worintnet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hyperlink" Target="https://lexincorp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3" Type="http://schemas.openxmlformats.org/officeDocument/2006/relationships/image" Target="../media/image11.png"/><Relationship Id="rId7" Type="http://schemas.openxmlformats.org/officeDocument/2006/relationships/hyperlink" Target="#Inicio!A1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5.png"/><Relationship Id="rId5" Type="http://schemas.openxmlformats.org/officeDocument/2006/relationships/hyperlink" Target="#'Presupuesto Anual Franquicias'!A1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FBEE3189-7045-4D93-8912-3A694A8B7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D60081F2-8BC3-4D9B-BB92-438C2D41C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292BEEC5-F1CF-43BA-8CFC-AB1B3AD0F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422719</xdr:colOff>
      <xdr:row>29</xdr:row>
      <xdr:rowOff>7697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C20E8994-265E-4F85-8AE8-1AE04A27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0F03E53-F444-49AE-A8E3-99C3C52FFB5C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46285ED-5871-48FB-87B4-21764094FB95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RESTAURANTES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2D8F938E-7ADE-439E-940A-E1385F19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6B3900B9-6446-4FFF-88DB-14808A9F9EE2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68D49-6963-4F1F-B55B-0236A13732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09CEA5-785B-461B-9548-3B0E536F4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6576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2E3A92-3700-4BB1-A3F2-97E09EFA55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B350876-B602-4DC0-8D8F-157706DE20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FDBF83A-DA37-4B8B-ADA6-6DE2AAE387AB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restaurante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513E447-8B88-4F6F-B528-AE0B9CE34E93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2" tooltip="https://lexincorp.com/"/>
          <a:extLst>
            <a:ext uri="{FF2B5EF4-FFF2-40B4-BE49-F238E27FC236}">
              <a16:creationId xmlns:a16="http://schemas.microsoft.com/office/drawing/2014/main" id="{F918EA8E-98B0-423E-8EAE-CDAC08E7F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578147</xdr:colOff>
      <xdr:row>28</xdr:row>
      <xdr:rowOff>72956</xdr:rowOff>
    </xdr:to>
    <xdr:pic>
      <xdr:nvPicPr>
        <xdr:cNvPr id="18" name="Imagen 17">
          <a:hlinkClick xmlns:r="http://schemas.openxmlformats.org/officeDocument/2006/relationships" r:id="rId12" tooltip="Crea Contratos de Franquicias"/>
          <a:extLst>
            <a:ext uri="{FF2B5EF4-FFF2-40B4-BE49-F238E27FC236}">
              <a16:creationId xmlns:a16="http://schemas.microsoft.com/office/drawing/2014/main" id="{5F6401D4-CE17-41B4-A7F7-795858B05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1EBD64F-EFB1-4D32-A873-498FCB1EE60D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535FB35-C1DD-4CA1-9040-4ED8373D47CA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46C2893-1CB6-4BB4-B325-6DCDF41BDF5A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C66DBE3-E314-474A-B253-669F4AB84B86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14</xdr:col>
      <xdr:colOff>243840</xdr:colOff>
      <xdr:row>1</xdr:row>
      <xdr:rowOff>106680</xdr:rowOff>
    </xdr:from>
    <xdr:to>
      <xdr:col>17</xdr:col>
      <xdr:colOff>522600</xdr:colOff>
      <xdr:row>12</xdr:row>
      <xdr:rowOff>147000</xdr:rowOff>
    </xdr:to>
    <xdr:pic>
      <xdr:nvPicPr>
        <xdr:cNvPr id="23" name="Imagen 22" descr="Pratos Talheres Restaurante - Gráfico vetorial grátis no Pixabay">
          <a:extLst>
            <a:ext uri="{FF2B5EF4-FFF2-40B4-BE49-F238E27FC236}">
              <a16:creationId xmlns:a16="http://schemas.microsoft.com/office/drawing/2014/main" id="{0F440A0C-666F-4DA8-9076-1447676B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289560"/>
          <a:ext cx="2656200" cy="20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21</xdr:row>
      <xdr:rowOff>121920</xdr:rowOff>
    </xdr:from>
    <xdr:to>
      <xdr:col>6</xdr:col>
      <xdr:colOff>704850</xdr:colOff>
      <xdr:row>29</xdr:row>
      <xdr:rowOff>104775</xdr:rowOff>
    </xdr:to>
    <xdr:pic>
      <xdr:nvPicPr>
        <xdr:cNvPr id="7" name="Imagen 6" descr="Monochrome Kontur Burger Mit Französisch Frites Und Soda Vektor-Abbildung  Lizenzfrei Nutzbare SVG, Vektorgrafiken, Clip Arts, Illustrationen. Image  74037701.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4823460"/>
          <a:ext cx="17602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12</xdr:row>
      <xdr:rowOff>22860</xdr:rowOff>
    </xdr:from>
    <xdr:to>
      <xdr:col>7</xdr:col>
      <xdr:colOff>77819</xdr:colOff>
      <xdr:row>20</xdr:row>
      <xdr:rowOff>145808</xdr:rowOff>
    </xdr:to>
    <xdr:pic>
      <xdr:nvPicPr>
        <xdr:cNvPr id="3" name="Imagen 2" descr="Mesa Restaurante | 3D Warehou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99BD91"/>
            </a:clrFrom>
            <a:clrTo>
              <a:srgbClr val="99BD9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2468880"/>
          <a:ext cx="3270599" cy="1839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68580</xdr:rowOff>
    </xdr:from>
    <xdr:to>
      <xdr:col>5</xdr:col>
      <xdr:colOff>1314450</xdr:colOff>
      <xdr:row>29</xdr:row>
      <xdr:rowOff>95250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868680</xdr:colOff>
      <xdr:row>22</xdr:row>
      <xdr:rowOff>0</xdr:rowOff>
    </xdr:from>
    <xdr:to>
      <xdr:col>5</xdr:col>
      <xdr:colOff>1924050</xdr:colOff>
      <xdr:row>26</xdr:row>
      <xdr:rowOff>142875</xdr:rowOff>
    </xdr:to>
    <xdr:pic>
      <xdr:nvPicPr>
        <xdr:cNvPr id="5" name="Imagen 4" descr="Taco - Iconos gratis de comida y restaura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4960620"/>
          <a:ext cx="105918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782383</xdr:colOff>
      <xdr:row>16</xdr:row>
      <xdr:rowOff>81915</xdr:rowOff>
    </xdr:from>
    <xdr:to>
      <xdr:col>14</xdr:col>
      <xdr:colOff>439145</xdr:colOff>
      <xdr:row>18</xdr:row>
      <xdr:rowOff>64165</xdr:rowOff>
    </xdr:to>
    <xdr:pic>
      <xdr:nvPicPr>
        <xdr:cNvPr id="9" name="Imagen 8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0203" y="3488055"/>
          <a:ext cx="449242" cy="431830"/>
        </a:xfrm>
        <a:prstGeom prst="rect">
          <a:avLst/>
        </a:prstGeom>
      </xdr:spPr>
    </xdr:pic>
    <xdr:clientData/>
  </xdr:twoCellAnchor>
  <xdr:twoCellAnchor>
    <xdr:from>
      <xdr:col>12</xdr:col>
      <xdr:colOff>739140</xdr:colOff>
      <xdr:row>16</xdr:row>
      <xdr:rowOff>93311</xdr:rowOff>
    </xdr:from>
    <xdr:to>
      <xdr:col>14</xdr:col>
      <xdr:colOff>32204</xdr:colOff>
      <xdr:row>18</xdr:row>
      <xdr:rowOff>91440</xdr:rowOff>
    </xdr:to>
    <xdr:sp macro="" textlink="">
      <xdr:nvSpPr>
        <xdr:cNvPr id="10" name="CuadroTexto 9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84480" y="3499451"/>
          <a:ext cx="878024" cy="447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12</xdr:col>
      <xdr:colOff>739140</xdr:colOff>
      <xdr:row>18</xdr:row>
      <xdr:rowOff>64770</xdr:rowOff>
    </xdr:from>
    <xdr:to>
      <xdr:col>14</xdr:col>
      <xdr:colOff>439145</xdr:colOff>
      <xdr:row>20</xdr:row>
      <xdr:rowOff>175115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2984480" y="3920490"/>
          <a:ext cx="1284965" cy="559925"/>
          <a:chOff x="12832080" y="640080"/>
          <a:chExt cx="1288775" cy="542780"/>
        </a:xfrm>
      </xdr:grpSpPr>
      <xdr:pic>
        <xdr:nvPicPr>
          <xdr:cNvPr id="12" name="Imagen 11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13670281" y="640080"/>
            <a:ext cx="450574" cy="444305"/>
          </a:xfrm>
          <a:prstGeom prst="rect">
            <a:avLst/>
          </a:prstGeom>
        </xdr:spPr>
      </xdr:pic>
      <xdr:sp macro="" textlink="">
        <xdr:nvSpPr>
          <xdr:cNvPr id="13" name="CuadroTexto 12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2832080" y="65180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  <xdr:twoCellAnchor editAs="oneCell">
    <xdr:from>
      <xdr:col>5</xdr:col>
      <xdr:colOff>678181</xdr:colOff>
      <xdr:row>2</xdr:row>
      <xdr:rowOff>259080</xdr:rowOff>
    </xdr:from>
    <xdr:to>
      <xdr:col>6</xdr:col>
      <xdr:colOff>706786</xdr:colOff>
      <xdr:row>11</xdr:row>
      <xdr:rowOff>249330</xdr:rowOff>
    </xdr:to>
    <xdr:pic>
      <xdr:nvPicPr>
        <xdr:cNvPr id="15" name="Imagen 14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11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98720" y="1013460"/>
          <a:ext cx="1264920" cy="13106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428625</xdr:colOff>
      <xdr:row>5</xdr:row>
      <xdr:rowOff>142875</xdr:rowOff>
    </xdr:from>
    <xdr:to>
      <xdr:col>2</xdr:col>
      <xdr:colOff>723900</xdr:colOff>
      <xdr:row>10</xdr:row>
      <xdr:rowOff>66675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28625" y="1362075"/>
          <a:ext cx="2286000" cy="828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mide la cantidad de pedidos pagados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38100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574780" y="2255520"/>
          <a:ext cx="2148840" cy="8229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comprar fijo de tu negocio, al visitarlo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N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167640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45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83820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1F23-32D7-42F6-8B52-D815CA73896D}">
  <dimension ref="A1:R31"/>
  <sheetViews>
    <sheetView showGridLines="0" showRowColHeaders="0" tabSelected="1" workbookViewId="0">
      <selection activeCell="J25" sqref="J25"/>
    </sheetView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4.4" customHeigh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14.4" customHeigh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11" spans="1:18" x14ac:dyDescent="0.3">
      <c r="D11" t="s">
        <v>133</v>
      </c>
    </row>
    <row r="31" spans="3:16" x14ac:dyDescent="0.3">
      <c r="C31" t="s">
        <v>133</v>
      </c>
      <c r="G31" t="s">
        <v>133</v>
      </c>
      <c r="L31" t="s">
        <v>133</v>
      </c>
      <c r="P31" t="s">
        <v>133</v>
      </c>
    </row>
  </sheetData>
  <sheetProtection algorithmName="SHA-512" hashValue="PIhAXKWYE25wtwoc1awsYTL3A/Hi+LEu6X8LJ8PeCq/KpJMFYQFgSadqrFl/EJiRpd/zOMlR1vc8pmmAnrnKZw==" saltValue="GkY+EiyDjyirBAwl/lyxig==" spinCount="100000" sheet="1" objects="1" scenarios="1" selectLockedCells="1" selectUnlockedCells="1"/>
  <hyperlinks>
    <hyperlink ref="A34" r:id="rId1" display="https://www.winpartnersgroup.com/ " xr:uid="{684E8539-BE12-4BFE-B1E7-C17F52EA64C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0"/>
  <sheetViews>
    <sheetView showGridLines="0" showRowColHeaders="0" zoomScaleNormal="100" workbookViewId="0">
      <selection activeCell="D9" sqref="D9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3" ht="25.8" x14ac:dyDescent="0.5">
      <c r="B1" s="26" t="s">
        <v>143</v>
      </c>
    </row>
    <row r="3" spans="2:13" ht="21" x14ac:dyDescent="0.4">
      <c r="B3" s="45">
        <v>1</v>
      </c>
      <c r="C3" s="24" t="s">
        <v>29</v>
      </c>
      <c r="H3" s="45">
        <v>4</v>
      </c>
      <c r="I3" s="24" t="s">
        <v>81</v>
      </c>
    </row>
    <row r="4" spans="2:13" ht="21" x14ac:dyDescent="0.4">
      <c r="B4" s="23" t="s">
        <v>34</v>
      </c>
      <c r="D4" s="21"/>
      <c r="E4" s="21"/>
      <c r="I4" s="23" t="s">
        <v>86</v>
      </c>
    </row>
    <row r="5" spans="2:13" x14ac:dyDescent="0.3">
      <c r="B5" s="23" t="s">
        <v>40</v>
      </c>
      <c r="E5" s="22"/>
      <c r="I5" s="23" t="s">
        <v>87</v>
      </c>
    </row>
    <row r="6" spans="2:13" x14ac:dyDescent="0.3">
      <c r="J6" s="4" t="s">
        <v>89</v>
      </c>
      <c r="L6" s="52" t="s">
        <v>85</v>
      </c>
    </row>
    <row r="7" spans="2:13" x14ac:dyDescent="0.3">
      <c r="C7" s="6" t="s">
        <v>3</v>
      </c>
      <c r="D7" s="59">
        <v>0</v>
      </c>
      <c r="E7" s="22"/>
      <c r="J7" s="6" t="s">
        <v>82</v>
      </c>
      <c r="K7" s="59">
        <v>10</v>
      </c>
      <c r="L7" s="56">
        <v>4</v>
      </c>
      <c r="M7" s="51">
        <f>L7/$L$10</f>
        <v>0.16666666666666666</v>
      </c>
    </row>
    <row r="8" spans="2:13" x14ac:dyDescent="0.3">
      <c r="C8" s="6" t="s">
        <v>5</v>
      </c>
      <c r="D8" s="59">
        <v>19</v>
      </c>
      <c r="J8" s="6" t="s">
        <v>84</v>
      </c>
      <c r="K8" s="59">
        <v>5</v>
      </c>
      <c r="L8" s="56">
        <v>8</v>
      </c>
      <c r="M8" s="51">
        <f>L8/$L$10</f>
        <v>0.33333333333333331</v>
      </c>
    </row>
    <row r="9" spans="2:13" x14ac:dyDescent="0.3">
      <c r="C9" s="6" t="s">
        <v>7</v>
      </c>
      <c r="D9" s="59">
        <v>0</v>
      </c>
      <c r="J9" s="6" t="s">
        <v>83</v>
      </c>
      <c r="K9" s="59">
        <v>4</v>
      </c>
      <c r="L9" s="56">
        <v>12</v>
      </c>
      <c r="M9" s="51">
        <f>L9/$L$10</f>
        <v>0.5</v>
      </c>
    </row>
    <row r="10" spans="2:13" x14ac:dyDescent="0.3">
      <c r="C10" s="6" t="s">
        <v>33</v>
      </c>
      <c r="D10" s="5">
        <f>SUM(D7:D9)</f>
        <v>19</v>
      </c>
      <c r="J10" s="6" t="s">
        <v>88</v>
      </c>
      <c r="K10" s="5">
        <f>AVERAGE(K7:K9)</f>
        <v>6.333333333333333</v>
      </c>
      <c r="L10" s="50">
        <f>SUM(L7:L9)</f>
        <v>24</v>
      </c>
      <c r="M10" s="51">
        <f>L10/$L$10</f>
        <v>1</v>
      </c>
    </row>
    <row r="11" spans="2:13" x14ac:dyDescent="0.3">
      <c r="J11" s="4" t="s">
        <v>90</v>
      </c>
    </row>
    <row r="12" spans="2:13" ht="21" x14ac:dyDescent="0.4">
      <c r="B12" s="45">
        <v>2</v>
      </c>
      <c r="C12" s="24" t="s">
        <v>30</v>
      </c>
      <c r="J12" s="6" t="s">
        <v>82</v>
      </c>
      <c r="K12" s="59">
        <v>3.5</v>
      </c>
    </row>
    <row r="13" spans="2:13" ht="21" x14ac:dyDescent="0.4">
      <c r="B13" s="23" t="s">
        <v>38</v>
      </c>
      <c r="D13" s="21"/>
      <c r="E13" s="21"/>
      <c r="J13" s="6" t="s">
        <v>83</v>
      </c>
      <c r="K13" s="59">
        <v>1</v>
      </c>
    </row>
    <row r="14" spans="2:13" x14ac:dyDescent="0.3">
      <c r="B14" s="23" t="s">
        <v>39</v>
      </c>
      <c r="K14" s="5">
        <f>AVERAGE(K12:K13)</f>
        <v>2.25</v>
      </c>
    </row>
    <row r="15" spans="2:13" x14ac:dyDescent="0.3">
      <c r="B15" s="22"/>
      <c r="J15" s="4" t="s">
        <v>91</v>
      </c>
      <c r="K15" s="5">
        <f>K10+K14</f>
        <v>8.5833333333333321</v>
      </c>
    </row>
    <row r="16" spans="2:13" x14ac:dyDescent="0.3">
      <c r="C16" s="6" t="s">
        <v>37</v>
      </c>
      <c r="D16" s="56">
        <v>10</v>
      </c>
    </row>
    <row r="17" spans="2:13" ht="21" x14ac:dyDescent="0.4">
      <c r="B17" s="22"/>
      <c r="C17" s="6" t="s">
        <v>31</v>
      </c>
      <c r="D17" s="56">
        <v>35</v>
      </c>
      <c r="E17" s="22"/>
      <c r="H17" s="120" t="s">
        <v>141</v>
      </c>
      <c r="I17" s="121"/>
      <c r="J17" s="121"/>
      <c r="K17" s="121"/>
      <c r="L17" s="121"/>
      <c r="M17" s="122"/>
    </row>
    <row r="18" spans="2:13" ht="14.4" customHeight="1" x14ac:dyDescent="0.3">
      <c r="C18" s="6" t="s">
        <v>32</v>
      </c>
      <c r="D18" s="50">
        <f>D17/D16</f>
        <v>3.5</v>
      </c>
      <c r="E18" s="22"/>
      <c r="H18" s="117" t="s">
        <v>142</v>
      </c>
      <c r="I18" s="118"/>
      <c r="J18" s="118"/>
      <c r="K18" s="118"/>
      <c r="L18" s="118"/>
      <c r="M18" s="119"/>
    </row>
    <row r="19" spans="2:13" x14ac:dyDescent="0.3">
      <c r="B19" s="25"/>
      <c r="C19" s="6" t="s">
        <v>51</v>
      </c>
      <c r="D19" s="60">
        <v>0.45</v>
      </c>
      <c r="E19" s="22"/>
      <c r="H19" s="102"/>
      <c r="I19" s="103"/>
      <c r="J19" s="103"/>
      <c r="K19" s="103"/>
      <c r="L19" s="103"/>
      <c r="M19" s="104"/>
    </row>
    <row r="20" spans="2:13" ht="21" x14ac:dyDescent="0.4">
      <c r="B20" s="22"/>
      <c r="C20" s="6" t="s">
        <v>134</v>
      </c>
      <c r="D20" s="50">
        <f>D16*D19</f>
        <v>4.5</v>
      </c>
      <c r="E20" s="22"/>
      <c r="H20" s="105"/>
      <c r="I20" s="103"/>
      <c r="J20" s="99" t="str">
        <f>IF(D7&gt;0,C7,IF(D8&gt;0,C8,IF(D9&gt;0,C9,0)))</f>
        <v>Comida Ejecutiva</v>
      </c>
      <c r="K20" s="113">
        <f>(D27*D26)*D28*(D20*D18)*K15</f>
        <v>25955.999999999996</v>
      </c>
      <c r="L20" s="103"/>
      <c r="M20" s="104"/>
    </row>
    <row r="21" spans="2:13" ht="15.6" x14ac:dyDescent="0.3">
      <c r="H21" s="105"/>
      <c r="I21" s="103"/>
      <c r="J21" s="100" t="s">
        <v>42</v>
      </c>
      <c r="K21" s="106">
        <f>K20/K15</f>
        <v>3024</v>
      </c>
      <c r="L21" s="101" t="s">
        <v>43</v>
      </c>
      <c r="M21" s="104"/>
    </row>
    <row r="22" spans="2:13" ht="21" x14ac:dyDescent="0.4">
      <c r="B22" s="45">
        <v>3</v>
      </c>
      <c r="C22" s="24" t="s">
        <v>35</v>
      </c>
      <c r="H22" s="105"/>
      <c r="I22" s="103"/>
      <c r="J22" s="100" t="s">
        <v>42</v>
      </c>
      <c r="K22" s="106">
        <f>K21/D28</f>
        <v>756</v>
      </c>
      <c r="L22" s="101" t="s">
        <v>44</v>
      </c>
      <c r="M22" s="104"/>
    </row>
    <row r="23" spans="2:13" ht="21" x14ac:dyDescent="0.4">
      <c r="B23" s="23" t="s">
        <v>41</v>
      </c>
      <c r="D23" s="21"/>
      <c r="E23" s="21"/>
      <c r="H23" s="105"/>
      <c r="I23" s="103"/>
      <c r="J23" s="100" t="s">
        <v>42</v>
      </c>
      <c r="K23" s="106">
        <f>K22/D26</f>
        <v>126</v>
      </c>
      <c r="L23" s="101" t="s">
        <v>45</v>
      </c>
      <c r="M23" s="104"/>
    </row>
    <row r="24" spans="2:13" ht="15.6" x14ac:dyDescent="0.3">
      <c r="B24" s="23" t="s">
        <v>40</v>
      </c>
      <c r="E24" s="22"/>
      <c r="H24" s="105"/>
      <c r="I24" s="103"/>
      <c r="J24" s="100" t="s">
        <v>42</v>
      </c>
      <c r="K24" s="106">
        <f>K23/D27</f>
        <v>15.75</v>
      </c>
      <c r="L24" s="101" t="s">
        <v>46</v>
      </c>
      <c r="M24" s="104"/>
    </row>
    <row r="25" spans="2:13" x14ac:dyDescent="0.3">
      <c r="H25" s="105"/>
      <c r="I25" s="103"/>
      <c r="J25" s="103"/>
      <c r="K25" s="103"/>
      <c r="L25" s="103"/>
      <c r="M25" s="104"/>
    </row>
    <row r="26" spans="2:13" ht="21" x14ac:dyDescent="0.4">
      <c r="C26" s="6" t="s">
        <v>49</v>
      </c>
      <c r="D26" s="56">
        <v>6</v>
      </c>
      <c r="H26" s="105"/>
      <c r="I26" s="103"/>
      <c r="J26" s="99" t="str">
        <f>J21</f>
        <v>Platos y Bebidas a vender</v>
      </c>
      <c r="K26" s="114">
        <f>K21</f>
        <v>3024</v>
      </c>
      <c r="L26" s="103"/>
      <c r="M26" s="104"/>
    </row>
    <row r="27" spans="2:13" ht="15.6" x14ac:dyDescent="0.3">
      <c r="C27" s="6" t="s">
        <v>50</v>
      </c>
      <c r="D27" s="56">
        <v>8</v>
      </c>
      <c r="H27" s="105"/>
      <c r="I27" s="103"/>
      <c r="J27" s="100" t="s">
        <v>47</v>
      </c>
      <c r="K27" s="106">
        <f>K21/$D$29</f>
        <v>1366.1052631578946</v>
      </c>
      <c r="L27" s="101" t="s">
        <v>43</v>
      </c>
      <c r="M27" s="104"/>
    </row>
    <row r="28" spans="2:13" ht="15.6" x14ac:dyDescent="0.3">
      <c r="C28" s="6" t="s">
        <v>36</v>
      </c>
      <c r="D28" s="61">
        <v>4</v>
      </c>
      <c r="H28" s="105"/>
      <c r="I28" s="103"/>
      <c r="J28" s="100" t="s">
        <v>47</v>
      </c>
      <c r="K28" s="106">
        <f>K22/$D$29</f>
        <v>341.52631578947364</v>
      </c>
      <c r="L28" s="101" t="s">
        <v>44</v>
      </c>
      <c r="M28" s="104"/>
    </row>
    <row r="29" spans="2:13" ht="15.6" x14ac:dyDescent="0.3">
      <c r="C29" s="6" t="s">
        <v>48</v>
      </c>
      <c r="D29" s="49">
        <f>D10/K15</f>
        <v>2.2135922330097091</v>
      </c>
      <c r="H29" s="105"/>
      <c r="I29" s="103"/>
      <c r="J29" s="100" t="s">
        <v>47</v>
      </c>
      <c r="K29" s="106">
        <f>K23/$D$29</f>
        <v>56.921052631578938</v>
      </c>
      <c r="L29" s="101" t="s">
        <v>45</v>
      </c>
      <c r="M29" s="104"/>
    </row>
    <row r="30" spans="2:13" ht="15.6" x14ac:dyDescent="0.3">
      <c r="C30" s="6"/>
      <c r="H30" s="107"/>
      <c r="I30" s="108"/>
      <c r="J30" s="109" t="s">
        <v>47</v>
      </c>
      <c r="K30" s="110">
        <f>K24/$D$29</f>
        <v>7.1151315789473673</v>
      </c>
      <c r="L30" s="111" t="s">
        <v>46</v>
      </c>
      <c r="M30" s="112"/>
    </row>
  </sheetData>
  <sheetProtection algorithmName="SHA-512" hashValue="Hv1dH0g5PDP0PJM1A1gKIhRDnSNdCbrWrNh5IChYy+x7dVTY9G3ZAILabQDeeTCqFs3W/YgF06uEIJM11Wi08A==" saltValue="zNwIpHj0rcx2X9tdYtjqWw==" spinCount="100000" sheet="1" objects="1" scenarios="1" selectLockedCells="1"/>
  <mergeCells count="2">
    <mergeCell ref="H18:M18"/>
    <mergeCell ref="H17:M1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9" sqref="G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34" customWidth="1"/>
    <col min="11" max="14" width="15.77734375" customWidth="1"/>
    <col min="15" max="15" width="3.88671875" customWidth="1"/>
  </cols>
  <sheetData>
    <row r="1" spans="2:16" ht="25.8" x14ac:dyDescent="0.5">
      <c r="B1" s="115" t="s">
        <v>144</v>
      </c>
    </row>
    <row r="2" spans="2:16" ht="11.4" customHeight="1" x14ac:dyDescent="0.3"/>
    <row r="3" spans="2:16" ht="21" x14ac:dyDescent="0.4">
      <c r="B3" s="45">
        <v>1</v>
      </c>
      <c r="C3" s="24" t="s">
        <v>72</v>
      </c>
      <c r="I3" s="127" t="s">
        <v>62</v>
      </c>
      <c r="J3" s="127"/>
      <c r="K3" s="127"/>
      <c r="L3" s="127"/>
      <c r="M3" s="127"/>
      <c r="N3" s="127"/>
      <c r="O3" s="127"/>
    </row>
    <row r="4" spans="2:16" x14ac:dyDescent="0.3">
      <c r="B4" s="23" t="s">
        <v>59</v>
      </c>
      <c r="I4" s="36"/>
      <c r="J4" s="36"/>
      <c r="K4" s="36"/>
      <c r="L4" s="36"/>
      <c r="M4" s="36"/>
      <c r="N4" s="36"/>
      <c r="O4" s="36"/>
    </row>
    <row r="5" spans="2:16" ht="18" x14ac:dyDescent="0.35">
      <c r="B5" s="23" t="s">
        <v>145</v>
      </c>
      <c r="I5" s="36"/>
      <c r="J5" s="37"/>
      <c r="K5" s="38" t="s">
        <v>18</v>
      </c>
      <c r="L5" s="38" t="s">
        <v>69</v>
      </c>
      <c r="M5" s="38" t="s">
        <v>70</v>
      </c>
      <c r="N5" s="38" t="s">
        <v>67</v>
      </c>
      <c r="O5" s="36"/>
    </row>
    <row r="6" spans="2:16" ht="18" x14ac:dyDescent="0.35">
      <c r="B6" s="23" t="s">
        <v>146</v>
      </c>
      <c r="I6" s="36"/>
      <c r="J6" s="37" t="s">
        <v>63</v>
      </c>
      <c r="K6" s="35">
        <f>SUM(C21:C23)</f>
        <v>77867.999999999985</v>
      </c>
      <c r="L6" s="35">
        <f>SUM(K21:K23)</f>
        <v>23360.399999999994</v>
      </c>
      <c r="M6" s="35">
        <f>SUM(N21:N23)</f>
        <v>38933.999999999993</v>
      </c>
      <c r="N6" s="47">
        <f>K6-L6-M6</f>
        <v>15573.599999999999</v>
      </c>
      <c r="O6" s="36"/>
    </row>
    <row r="7" spans="2:16" ht="18" x14ac:dyDescent="0.35">
      <c r="B7" s="23"/>
      <c r="I7" s="36"/>
      <c r="J7" s="37" t="s">
        <v>64</v>
      </c>
      <c r="K7" s="35">
        <f>SUM(C24:C26)</f>
        <v>81575.999999999985</v>
      </c>
      <c r="L7" s="35">
        <f>SUM(K24:K26)</f>
        <v>24472.799999999996</v>
      </c>
      <c r="M7" s="35">
        <f>SUM(N24:N26)</f>
        <v>40787.999999999993</v>
      </c>
      <c r="N7" s="47">
        <f t="shared" ref="N7:N9" si="0">K7-L7-M7</f>
        <v>16315.199999999997</v>
      </c>
      <c r="O7" s="36"/>
    </row>
    <row r="8" spans="2:16" ht="18" x14ac:dyDescent="0.35">
      <c r="E8" s="27" t="str">
        <f>'Multiplicando su Negocio'!J20</f>
        <v>Comida Ejecutiva</v>
      </c>
      <c r="F8" s="30" t="s">
        <v>58</v>
      </c>
      <c r="G8" s="31">
        <f>'Multiplicando su Negocio'!K20</f>
        <v>25955.999999999996</v>
      </c>
      <c r="H8" s="41"/>
      <c r="I8" s="39"/>
      <c r="J8" s="37" t="s">
        <v>65</v>
      </c>
      <c r="K8" s="35">
        <f>SUM(C27:C29)</f>
        <v>74159.999999999985</v>
      </c>
      <c r="L8" s="35">
        <f>SUM(K27:K29)</f>
        <v>22247.999999999996</v>
      </c>
      <c r="M8" s="35">
        <f>SUM(N27:N29)</f>
        <v>37079.999999999993</v>
      </c>
      <c r="N8" s="47">
        <f t="shared" si="0"/>
        <v>14831.999999999993</v>
      </c>
      <c r="O8" s="36"/>
    </row>
    <row r="9" spans="2:16" ht="18" x14ac:dyDescent="0.35">
      <c r="F9" s="29" t="s">
        <v>53</v>
      </c>
      <c r="G9" s="55" t="s">
        <v>17</v>
      </c>
      <c r="H9" s="42"/>
      <c r="I9" s="36"/>
      <c r="J9" s="37" t="s">
        <v>66</v>
      </c>
      <c r="K9" s="35">
        <f>SUM(C30:C32)</f>
        <v>92699.999999999985</v>
      </c>
      <c r="L9" s="35">
        <f>SUM(K30:K32)</f>
        <v>27809.999999999993</v>
      </c>
      <c r="M9" s="35">
        <f>SUM(N30:N32)</f>
        <v>46349.999999999993</v>
      </c>
      <c r="N9" s="47">
        <f t="shared" si="0"/>
        <v>18540</v>
      </c>
      <c r="O9" s="36"/>
    </row>
    <row r="10" spans="2:16" ht="18" customHeight="1" x14ac:dyDescent="0.35">
      <c r="B10" s="32"/>
      <c r="C10" s="32"/>
      <c r="D10" s="32"/>
      <c r="E10" s="32"/>
      <c r="F10" s="29" t="s">
        <v>54</v>
      </c>
      <c r="G10" s="55">
        <v>7</v>
      </c>
      <c r="H10" s="42"/>
      <c r="I10" s="36"/>
      <c r="J10" s="37" t="s">
        <v>68</v>
      </c>
      <c r="K10" s="40">
        <f>SUM(K6:K9)</f>
        <v>326303.99999999994</v>
      </c>
      <c r="L10" s="40">
        <f t="shared" ref="L10:N10" si="1">SUM(L6:L9)</f>
        <v>97891.199999999983</v>
      </c>
      <c r="M10" s="40">
        <f t="shared" si="1"/>
        <v>163151.99999999997</v>
      </c>
      <c r="N10" s="40">
        <f t="shared" si="1"/>
        <v>65260.799999999988</v>
      </c>
      <c r="O10" s="36"/>
      <c r="P10" s="48">
        <f>N10/K10</f>
        <v>0.2</v>
      </c>
    </row>
    <row r="11" spans="2:16" x14ac:dyDescent="0.3">
      <c r="F11" s="29" t="s">
        <v>138</v>
      </c>
      <c r="G11" s="56" t="s">
        <v>136</v>
      </c>
      <c r="H11" s="43"/>
      <c r="I11" s="126" t="s">
        <v>93</v>
      </c>
      <c r="J11" s="126"/>
      <c r="K11" s="126"/>
      <c r="L11" s="126"/>
      <c r="M11" s="126"/>
      <c r="N11" s="126"/>
      <c r="O11" s="126"/>
    </row>
    <row r="12" spans="2:16" x14ac:dyDescent="0.3">
      <c r="I12" s="23"/>
    </row>
    <row r="13" spans="2:16" ht="21" x14ac:dyDescent="0.4">
      <c r="B13" s="45">
        <v>2</v>
      </c>
      <c r="C13" s="24" t="s">
        <v>71</v>
      </c>
      <c r="I13" s="45">
        <v>3</v>
      </c>
      <c r="J13" s="24" t="s">
        <v>73</v>
      </c>
      <c r="K13" s="24"/>
    </row>
    <row r="14" spans="2:16" ht="21" x14ac:dyDescent="0.4">
      <c r="B14" s="23" t="s">
        <v>55</v>
      </c>
      <c r="D14" s="21"/>
      <c r="E14" s="21"/>
      <c r="J14" s="23" t="s">
        <v>74</v>
      </c>
    </row>
    <row r="15" spans="2:16" x14ac:dyDescent="0.3">
      <c r="B15" s="23" t="s">
        <v>57</v>
      </c>
      <c r="E15" s="22"/>
      <c r="J15" s="23" t="s">
        <v>75</v>
      </c>
    </row>
    <row r="16" spans="2:16" x14ac:dyDescent="0.3">
      <c r="B16" t="s">
        <v>135</v>
      </c>
      <c r="G16" s="55" t="s">
        <v>16</v>
      </c>
      <c r="H16" s="42"/>
      <c r="J16" t="s">
        <v>76</v>
      </c>
      <c r="M16" t="s">
        <v>79</v>
      </c>
    </row>
    <row r="17" spans="2:14" x14ac:dyDescent="0.3">
      <c r="B17" t="s">
        <v>56</v>
      </c>
      <c r="G17" s="55">
        <v>5</v>
      </c>
      <c r="H17" s="42"/>
      <c r="J17" t="s">
        <v>77</v>
      </c>
      <c r="M17" t="s">
        <v>77</v>
      </c>
    </row>
    <row r="18" spans="2:14" x14ac:dyDescent="0.3">
      <c r="B18" t="s">
        <v>52</v>
      </c>
      <c r="J18" t="s">
        <v>78</v>
      </c>
      <c r="M18" t="s">
        <v>78</v>
      </c>
    </row>
    <row r="19" spans="2:14" x14ac:dyDescent="0.3">
      <c r="K19" s="58">
        <v>0.3</v>
      </c>
      <c r="N19" s="58">
        <v>0.5</v>
      </c>
    </row>
    <row r="20" spans="2:14" ht="15.6" x14ac:dyDescent="0.3">
      <c r="B20" s="123" t="s">
        <v>11</v>
      </c>
      <c r="C20" s="125"/>
      <c r="D20" s="124"/>
      <c r="F20" s="46" t="s">
        <v>137</v>
      </c>
      <c r="J20" s="123" t="s">
        <v>60</v>
      </c>
      <c r="K20" s="124"/>
      <c r="M20" s="123" t="s">
        <v>61</v>
      </c>
      <c r="N20" s="124"/>
    </row>
    <row r="21" spans="2:14" ht="15.6" customHeight="1" x14ac:dyDescent="0.3">
      <c r="B21" s="14" t="s">
        <v>13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33371.999999999993</v>
      </c>
      <c r="D21" s="28">
        <f>IF($G$16="Enero",$G$17,G21)</f>
        <v>9</v>
      </c>
      <c r="F21" s="29" t="str">
        <f>B21</f>
        <v>Enero</v>
      </c>
      <c r="G21" s="57">
        <v>9</v>
      </c>
      <c r="H21" s="44"/>
      <c r="J21" s="14" t="s">
        <v>13</v>
      </c>
      <c r="K21" s="33">
        <f>C21*$K$19</f>
        <v>10011.599999999997</v>
      </c>
      <c r="M21" s="14" t="s">
        <v>13</v>
      </c>
      <c r="N21" s="33">
        <f>C21*$N$19</f>
        <v>16685.999999999996</v>
      </c>
    </row>
    <row r="22" spans="2:14" x14ac:dyDescent="0.3">
      <c r="B22" s="14" t="s">
        <v>16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18539.999999999996</v>
      </c>
      <c r="D22" s="28">
        <f>IF($G$16="Febrero",$G$17,G22)</f>
        <v>5</v>
      </c>
      <c r="F22" s="29" t="str">
        <f t="shared" ref="F22:F32" si="2">B22</f>
        <v>Febrero</v>
      </c>
      <c r="G22" s="57">
        <v>5</v>
      </c>
      <c r="H22" s="44"/>
      <c r="J22" s="14" t="s">
        <v>16</v>
      </c>
      <c r="K22" s="33">
        <f t="shared" ref="K22:K32" si="3">C22*$K$19</f>
        <v>5561.9999999999991</v>
      </c>
      <c r="M22" s="14" t="s">
        <v>16</v>
      </c>
      <c r="N22" s="33">
        <f t="shared" ref="N22:N32" si="4">C22*$N$19</f>
        <v>9269.9999999999982</v>
      </c>
    </row>
    <row r="23" spans="2:14" x14ac:dyDescent="0.3">
      <c r="B23" s="14" t="s">
        <v>17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25955.999999999996</v>
      </c>
      <c r="D23" s="28">
        <f>IF($G$16="Marzo",$G$17,G23)</f>
        <v>7</v>
      </c>
      <c r="F23" s="29" t="str">
        <f t="shared" si="2"/>
        <v>Marzo</v>
      </c>
      <c r="G23" s="57">
        <v>7</v>
      </c>
      <c r="H23" s="44"/>
      <c r="J23" s="14" t="s">
        <v>17</v>
      </c>
      <c r="K23" s="33">
        <f t="shared" si="3"/>
        <v>7786.7999999999984</v>
      </c>
      <c r="M23" s="14" t="s">
        <v>17</v>
      </c>
      <c r="N23" s="33">
        <f t="shared" si="4"/>
        <v>12977.999999999998</v>
      </c>
    </row>
    <row r="24" spans="2:14" x14ac:dyDescent="0.3">
      <c r="B24" s="14" t="s">
        <v>19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25955.999999999996</v>
      </c>
      <c r="D24" s="28">
        <f>IF($G$16="Abril",$G$17,G24)</f>
        <v>7</v>
      </c>
      <c r="F24" s="29" t="str">
        <f t="shared" si="2"/>
        <v>Abril</v>
      </c>
      <c r="G24" s="57">
        <v>7</v>
      </c>
      <c r="H24" s="44"/>
      <c r="J24" s="14" t="s">
        <v>19</v>
      </c>
      <c r="K24" s="33">
        <f t="shared" si="3"/>
        <v>7786.7999999999984</v>
      </c>
      <c r="M24" s="14" t="s">
        <v>19</v>
      </c>
      <c r="N24" s="33">
        <f t="shared" si="4"/>
        <v>12977.999999999998</v>
      </c>
    </row>
    <row r="25" spans="2:14" x14ac:dyDescent="0.3">
      <c r="B25" s="14" t="s">
        <v>20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25955.999999999996</v>
      </c>
      <c r="D25" s="28">
        <f>IF($G$16="Mayo",$G$17,G25)</f>
        <v>7</v>
      </c>
      <c r="F25" s="29" t="str">
        <f t="shared" si="2"/>
        <v>Mayo</v>
      </c>
      <c r="G25" s="57">
        <v>7</v>
      </c>
      <c r="H25" s="44"/>
      <c r="J25" s="14" t="s">
        <v>20</v>
      </c>
      <c r="K25" s="33">
        <f t="shared" si="3"/>
        <v>7786.7999999999984</v>
      </c>
      <c r="M25" s="14" t="s">
        <v>20</v>
      </c>
      <c r="N25" s="33">
        <f t="shared" si="4"/>
        <v>12977.999999999998</v>
      </c>
    </row>
    <row r="26" spans="2:14" x14ac:dyDescent="0.3">
      <c r="B26" s="14" t="s">
        <v>21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29663.999999999996</v>
      </c>
      <c r="D26" s="28">
        <f>IF($G$16="Junio",$G$17,G26)</f>
        <v>8</v>
      </c>
      <c r="F26" s="29" t="str">
        <f t="shared" si="2"/>
        <v>Junio</v>
      </c>
      <c r="G26" s="57">
        <v>8</v>
      </c>
      <c r="H26" s="44"/>
      <c r="J26" s="14" t="s">
        <v>21</v>
      </c>
      <c r="K26" s="33">
        <f t="shared" si="3"/>
        <v>8899.1999999999989</v>
      </c>
      <c r="M26" s="14" t="s">
        <v>21</v>
      </c>
      <c r="N26" s="33">
        <f t="shared" si="4"/>
        <v>14831.999999999998</v>
      </c>
    </row>
    <row r="27" spans="2:14" x14ac:dyDescent="0.3">
      <c r="B27" s="14" t="s">
        <v>22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22247.999999999996</v>
      </c>
      <c r="D27" s="28">
        <f>IF($G$16="Julio",$G$17,G27)</f>
        <v>6</v>
      </c>
      <c r="F27" s="29" t="str">
        <f t="shared" si="2"/>
        <v>Julio</v>
      </c>
      <c r="G27" s="57">
        <v>6</v>
      </c>
      <c r="H27" s="44"/>
      <c r="J27" s="14" t="s">
        <v>22</v>
      </c>
      <c r="K27" s="33">
        <f t="shared" si="3"/>
        <v>6674.3999999999987</v>
      </c>
      <c r="M27" s="14" t="s">
        <v>22</v>
      </c>
      <c r="N27" s="33">
        <f t="shared" si="4"/>
        <v>11123.999999999998</v>
      </c>
    </row>
    <row r="28" spans="2:14" x14ac:dyDescent="0.3">
      <c r="B28" s="14" t="s">
        <v>23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25955.999999999996</v>
      </c>
      <c r="D28" s="28">
        <f>IF($G$16="Agosto",$G$17,G28)</f>
        <v>7</v>
      </c>
      <c r="F28" s="29" t="str">
        <f t="shared" si="2"/>
        <v>Agosto</v>
      </c>
      <c r="G28" s="57">
        <v>7</v>
      </c>
      <c r="H28" s="44"/>
      <c r="J28" s="14" t="s">
        <v>23</v>
      </c>
      <c r="K28" s="33">
        <f t="shared" si="3"/>
        <v>7786.7999999999984</v>
      </c>
      <c r="M28" s="14" t="s">
        <v>23</v>
      </c>
      <c r="N28" s="33">
        <f t="shared" si="4"/>
        <v>12977.999999999998</v>
      </c>
    </row>
    <row r="29" spans="2:14" x14ac:dyDescent="0.3">
      <c r="B29" s="14" t="s">
        <v>24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25955.999999999996</v>
      </c>
      <c r="D29" s="28">
        <f>IF($G$16="Septiembre",$G$17,G29)</f>
        <v>7</v>
      </c>
      <c r="F29" s="29" t="str">
        <f t="shared" si="2"/>
        <v>Septiembre</v>
      </c>
      <c r="G29" s="57">
        <v>7</v>
      </c>
      <c r="H29" s="44"/>
      <c r="J29" s="14" t="s">
        <v>24</v>
      </c>
      <c r="K29" s="33">
        <f t="shared" si="3"/>
        <v>7786.7999999999984</v>
      </c>
      <c r="M29" s="14" t="s">
        <v>24</v>
      </c>
      <c r="N29" s="33">
        <f t="shared" si="4"/>
        <v>12977.999999999998</v>
      </c>
    </row>
    <row r="30" spans="2:14" ht="14.4" customHeight="1" x14ac:dyDescent="0.3">
      <c r="B30" s="14" t="s">
        <v>25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25955.999999999996</v>
      </c>
      <c r="D30" s="28">
        <f>IF($G$16="Octubre",$G$17,G30)</f>
        <v>7</v>
      </c>
      <c r="F30" s="29" t="str">
        <f t="shared" si="2"/>
        <v>Octubre</v>
      </c>
      <c r="G30" s="57">
        <v>7</v>
      </c>
      <c r="H30" s="44"/>
      <c r="J30" s="14" t="s">
        <v>25</v>
      </c>
      <c r="K30" s="33">
        <f t="shared" si="3"/>
        <v>7786.7999999999984</v>
      </c>
      <c r="M30" s="14" t="s">
        <v>25</v>
      </c>
      <c r="N30" s="33">
        <f t="shared" si="4"/>
        <v>12977.999999999998</v>
      </c>
    </row>
    <row r="31" spans="2:14" x14ac:dyDescent="0.3">
      <c r="B31" s="14" t="s">
        <v>26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29663.999999999996</v>
      </c>
      <c r="D31" s="28">
        <f>IF($G$16="Noviembre",$G$17,G31)</f>
        <v>8</v>
      </c>
      <c r="F31" s="29" t="str">
        <f t="shared" si="2"/>
        <v>Noviembre</v>
      </c>
      <c r="G31" s="57">
        <v>8</v>
      </c>
      <c r="H31" s="44"/>
      <c r="J31" s="14" t="s">
        <v>26</v>
      </c>
      <c r="K31" s="33">
        <f t="shared" si="3"/>
        <v>8899.1999999999989</v>
      </c>
      <c r="M31" s="14" t="s">
        <v>26</v>
      </c>
      <c r="N31" s="33">
        <f t="shared" si="4"/>
        <v>14831.999999999998</v>
      </c>
    </row>
    <row r="32" spans="2:14" x14ac:dyDescent="0.3">
      <c r="B32" s="14" t="s">
        <v>27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37079.999999999993</v>
      </c>
      <c r="D32" s="28">
        <f>IF($G$16="Diciembre",$G$17,G32)</f>
        <v>10</v>
      </c>
      <c r="F32" s="29" t="str">
        <f t="shared" si="2"/>
        <v>Diciembre</v>
      </c>
      <c r="G32" s="57">
        <v>10</v>
      </c>
      <c r="H32" s="44"/>
      <c r="J32" s="14" t="s">
        <v>27</v>
      </c>
      <c r="K32" s="33">
        <f t="shared" si="3"/>
        <v>11123.999999999998</v>
      </c>
      <c r="M32" s="14" t="s">
        <v>27</v>
      </c>
      <c r="N32" s="33">
        <f t="shared" si="4"/>
        <v>18539.999999999996</v>
      </c>
    </row>
    <row r="33" spans="2:14" x14ac:dyDescent="0.3">
      <c r="B33" s="17" t="s">
        <v>28</v>
      </c>
      <c r="C33" s="19">
        <f>SUM(C21:C32)</f>
        <v>326303.99999999994</v>
      </c>
      <c r="D33" s="20">
        <v>1</v>
      </c>
      <c r="J33" s="17" t="s">
        <v>28</v>
      </c>
      <c r="K33" s="18">
        <f>SUM(K21:K32)</f>
        <v>97891.199999999983</v>
      </c>
      <c r="M33" s="17" t="s">
        <v>28</v>
      </c>
      <c r="N33" s="18">
        <f>SUM(N21:N32)</f>
        <v>163151.99999999997</v>
      </c>
    </row>
  </sheetData>
  <sheetProtection algorithmName="SHA-512" hashValue="hV5hWw6ej2CNxikJextgmW+cYv+qjoUk/KLvk87aE2m6U2ysP04M3CPZOicMrvE0i2sElJFXXkqJ5u5GEcN2zA==" saltValue="/MqlyZhSdqZgq8bj9XYafw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disablePrompts="1"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34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33" t="str">
        <f>IF(Q7="SI","SU NEGOCIO PUEDE SER FRANQUICIADO","SU NEGOCIO NO PUEDE SER FRANQUICIADO")</f>
        <v>SU NEGOCIO PUEDE SER FRANQUICIADO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2:17" ht="7.8" customHeight="1" x14ac:dyDescent="0.3"/>
    <row r="3" spans="2:17" ht="21" x14ac:dyDescent="0.4">
      <c r="B3" s="45">
        <v>1</v>
      </c>
      <c r="C3" s="24" t="s">
        <v>94</v>
      </c>
      <c r="I3" s="45">
        <v>2</v>
      </c>
      <c r="J3" s="24" t="s">
        <v>95</v>
      </c>
      <c r="O3" s="24" t="s">
        <v>108</v>
      </c>
      <c r="P3" s="24"/>
      <c r="Q3" s="24"/>
    </row>
    <row r="4" spans="2:17" x14ac:dyDescent="0.3">
      <c r="B4" s="23" t="s">
        <v>139</v>
      </c>
      <c r="I4" s="23" t="s">
        <v>116</v>
      </c>
      <c r="O4" s="63" t="str">
        <f>IF((L21/L17)&gt;15%,"Su negocio SI PUEDE SER FRANQUICIABLE.","Su negocio NO PUEDE SER FRANQUICIABLE.")</f>
        <v>Su negocio SI PUEDE SER FRANQUICIABLE.</v>
      </c>
    </row>
    <row r="5" spans="2:17" x14ac:dyDescent="0.3">
      <c r="I5" s="23" t="s">
        <v>118</v>
      </c>
      <c r="O5" s="63" t="str">
        <f>IF((L21/L17)&gt;15%,"Ventajas competitivas a multiplicar:","Lo que debemos analizar:")</f>
        <v>Ventajas competitivas a multiplicar:</v>
      </c>
    </row>
    <row r="6" spans="2:17" ht="15.6" x14ac:dyDescent="0.3">
      <c r="C6" s="134" t="s">
        <v>11</v>
      </c>
      <c r="D6" s="135"/>
      <c r="E6" s="135"/>
      <c r="F6" s="136"/>
      <c r="G6" s="79"/>
      <c r="I6" s="23" t="s">
        <v>117</v>
      </c>
    </row>
    <row r="7" spans="2:17" x14ac:dyDescent="0.3">
      <c r="C7" s="14" t="s">
        <v>13</v>
      </c>
      <c r="D7" s="16">
        <f>'Presupuesto Anual Franquicias'!C21</f>
        <v>33371.999999999993</v>
      </c>
      <c r="E7" s="15">
        <f>'Presupuesto Anual Franquicias'!D21</f>
        <v>9</v>
      </c>
      <c r="F7" s="128" t="s">
        <v>14</v>
      </c>
      <c r="G7" s="80"/>
      <c r="O7" s="64"/>
      <c r="P7" s="65" t="s">
        <v>119</v>
      </c>
      <c r="Q7" s="75" t="str">
        <f>IF((L21/L17)&gt;15%,"SI","NO")</f>
        <v>SI</v>
      </c>
    </row>
    <row r="8" spans="2:17" x14ac:dyDescent="0.3">
      <c r="C8" s="14" t="s">
        <v>16</v>
      </c>
      <c r="D8" s="16">
        <f>'Presupuesto Anual Franquicias'!C22</f>
        <v>18539.999999999996</v>
      </c>
      <c r="E8" s="15">
        <f>'Presupuesto Anual Franquicias'!D22</f>
        <v>5</v>
      </c>
      <c r="F8" s="128"/>
      <c r="G8" s="80"/>
      <c r="J8" s="130" t="s">
        <v>8</v>
      </c>
      <c r="K8" s="131"/>
      <c r="L8" s="132"/>
      <c r="O8" s="66"/>
      <c r="P8" s="67" t="s">
        <v>100</v>
      </c>
      <c r="Q8" s="68">
        <f>J30</f>
        <v>2.2959227839335172</v>
      </c>
    </row>
    <row r="9" spans="2:17" x14ac:dyDescent="0.3">
      <c r="C9" s="14" t="s">
        <v>17</v>
      </c>
      <c r="D9" s="16">
        <f>'Presupuesto Anual Franquicias'!C23</f>
        <v>25955.999999999996</v>
      </c>
      <c r="E9" s="15">
        <f>'Presupuesto Anual Franquicias'!D23</f>
        <v>7</v>
      </c>
      <c r="F9" s="128"/>
      <c r="G9" s="80"/>
      <c r="J9" s="7" t="s">
        <v>0</v>
      </c>
      <c r="K9" s="8" t="s">
        <v>1</v>
      </c>
      <c r="L9" s="9" t="s">
        <v>2</v>
      </c>
      <c r="O9" s="66"/>
      <c r="P9" s="67" t="s">
        <v>101</v>
      </c>
      <c r="Q9" s="68">
        <f>J31</f>
        <v>11.249999999999998</v>
      </c>
    </row>
    <row r="10" spans="2:17" x14ac:dyDescent="0.3">
      <c r="C10" s="14" t="s">
        <v>19</v>
      </c>
      <c r="D10" s="16">
        <f>'Presupuesto Anual Franquicias'!C24</f>
        <v>25955.999999999996</v>
      </c>
      <c r="E10" s="15">
        <f>'Presupuesto Anual Franquicias'!D24</f>
        <v>7</v>
      </c>
      <c r="F10" s="128"/>
      <c r="G10" s="80"/>
      <c r="J10" s="54">
        <f>'Multiplicando su Negocio'!D19</f>
        <v>0.45</v>
      </c>
      <c r="K10" s="10">
        <f>+J10+$K$11</f>
        <v>0.55000000000000004</v>
      </c>
      <c r="L10" s="11">
        <f>+K10+$K$11</f>
        <v>0.65</v>
      </c>
      <c r="O10" s="66"/>
      <c r="P10" s="67" t="s">
        <v>102</v>
      </c>
      <c r="Q10" s="68">
        <f>J34</f>
        <v>19.999999999999996</v>
      </c>
    </row>
    <row r="11" spans="2:17" x14ac:dyDescent="0.3">
      <c r="C11" s="14" t="s">
        <v>20</v>
      </c>
      <c r="D11" s="16">
        <f>'Presupuesto Anual Franquicias'!C25</f>
        <v>25955.999999999996</v>
      </c>
      <c r="E11" s="15">
        <f>'Presupuesto Anual Franquicias'!D25</f>
        <v>7</v>
      </c>
      <c r="F11" s="128"/>
      <c r="G11" s="80"/>
      <c r="J11" s="12" t="s">
        <v>9</v>
      </c>
      <c r="K11" s="62">
        <v>0.1</v>
      </c>
      <c r="L11" s="13"/>
      <c r="O11" s="66"/>
      <c r="P11" s="67" t="s">
        <v>104</v>
      </c>
      <c r="Q11" s="33">
        <f>J20</f>
        <v>96.562499999999972</v>
      </c>
    </row>
    <row r="12" spans="2:17" x14ac:dyDescent="0.3">
      <c r="C12" s="14" t="s">
        <v>21</v>
      </c>
      <c r="D12" s="16">
        <f>'Presupuesto Anual Franquicias'!C26</f>
        <v>29663.999999999996</v>
      </c>
      <c r="E12" s="15">
        <f>'Presupuesto Anual Franquicias'!D26</f>
        <v>8</v>
      </c>
      <c r="F12" s="128"/>
      <c r="G12" s="80"/>
      <c r="O12" s="66"/>
      <c r="P12" s="67" t="s">
        <v>103</v>
      </c>
      <c r="Q12" s="68">
        <f>J26</f>
        <v>5.0822368421052619</v>
      </c>
    </row>
    <row r="13" spans="2:17" x14ac:dyDescent="0.3">
      <c r="C13" s="14" t="s">
        <v>22</v>
      </c>
      <c r="D13" s="16">
        <f>'Presupuesto Anual Franquicias'!C27</f>
        <v>22247.999999999996</v>
      </c>
      <c r="E13" s="15">
        <f>'Presupuesto Anual Franquicias'!D27</f>
        <v>6</v>
      </c>
      <c r="F13" s="128"/>
      <c r="G13" s="80"/>
      <c r="I13" s="23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66"/>
      <c r="P13" s="67" t="s">
        <v>105</v>
      </c>
      <c r="Q13" s="33">
        <f>Q11*E34</f>
        <v>19.312499999999996</v>
      </c>
    </row>
    <row r="14" spans="2:17" ht="18" x14ac:dyDescent="0.35">
      <c r="C14" s="14" t="s">
        <v>23</v>
      </c>
      <c r="D14" s="16">
        <f>'Presupuesto Anual Franquicias'!C28</f>
        <v>25955.999999999996</v>
      </c>
      <c r="E14" s="15">
        <f>'Presupuesto Anual Franquicias'!D28</f>
        <v>7</v>
      </c>
      <c r="F14" s="128"/>
      <c r="G14" s="80"/>
      <c r="J14" s="129" t="s">
        <v>80</v>
      </c>
      <c r="K14" s="129"/>
      <c r="L14" s="129"/>
      <c r="O14" s="66"/>
      <c r="P14" s="67" t="s">
        <v>106</v>
      </c>
      <c r="Q14" s="69">
        <f>Q13/Q11</f>
        <v>0.2</v>
      </c>
    </row>
    <row r="15" spans="2:17" x14ac:dyDescent="0.3">
      <c r="C15" s="14" t="s">
        <v>24</v>
      </c>
      <c r="D15" s="16">
        <f>'Presupuesto Anual Franquicias'!C29</f>
        <v>25955.999999999996</v>
      </c>
      <c r="E15" s="15">
        <f>'Presupuesto Anual Franquicias'!D29</f>
        <v>7</v>
      </c>
      <c r="F15" s="128"/>
      <c r="G15" s="80"/>
      <c r="J15" s="137" t="s">
        <v>140</v>
      </c>
      <c r="K15" s="137"/>
      <c r="L15" s="137"/>
      <c r="O15" s="66"/>
      <c r="P15" s="67" t="s">
        <v>107</v>
      </c>
      <c r="Q15" s="70">
        <v>0.17499999999999999</v>
      </c>
    </row>
    <row r="16" spans="2:17" x14ac:dyDescent="0.3">
      <c r="C16" s="14" t="s">
        <v>25</v>
      </c>
      <c r="D16" s="16">
        <f>'Presupuesto Anual Franquicias'!C30</f>
        <v>25955.999999999996</v>
      </c>
      <c r="E16" s="15">
        <f>'Presupuesto Anual Franquicias'!D30</f>
        <v>7</v>
      </c>
      <c r="F16" s="128"/>
      <c r="G16" s="80"/>
      <c r="J16" s="1" t="s">
        <v>0</v>
      </c>
      <c r="K16" s="2" t="s">
        <v>1</v>
      </c>
      <c r="L16" s="3" t="s">
        <v>2</v>
      </c>
      <c r="N16" s="2" t="s">
        <v>132</v>
      </c>
      <c r="O16" s="71"/>
      <c r="P16" s="72" t="str">
        <f>IF(Q14&gt;Q15,"Por arriba de la Industria:","Por debajo de la Industria:")</f>
        <v>Por arriba de la Industria:</v>
      </c>
      <c r="Q16" s="76">
        <f>Q14-Q15</f>
        <v>2.5000000000000022E-2</v>
      </c>
    </row>
    <row r="17" spans="3:17" x14ac:dyDescent="0.3">
      <c r="C17" s="14" t="s">
        <v>26</v>
      </c>
      <c r="D17" s="16">
        <f>'Presupuesto Anual Franquicias'!C31</f>
        <v>29663.999999999996</v>
      </c>
      <c r="E17" s="15">
        <f>'Presupuesto Anual Franquicias'!D31</f>
        <v>8</v>
      </c>
      <c r="F17" s="128"/>
      <c r="G17" s="80"/>
      <c r="H17" s="93"/>
      <c r="I17" s="94" t="s">
        <v>96</v>
      </c>
      <c r="J17" s="95">
        <f>MIN('Presupuesto Anual Franquicias'!$C$21:$C$32)</f>
        <v>18539.999999999996</v>
      </c>
      <c r="K17" s="95">
        <f>AVERAGE(J17,L17)</f>
        <v>27809.999999999993</v>
      </c>
      <c r="L17" s="95">
        <f>MAX('Presupuesto Anual Franquicias'!$C$21:$C$32)</f>
        <v>37079.999999999993</v>
      </c>
      <c r="N17" s="5">
        <f>N18*'Multiplicando su Negocio'!D28</f>
        <v>18539.999999999993</v>
      </c>
    </row>
    <row r="18" spans="3:17" ht="21" x14ac:dyDescent="0.4">
      <c r="C18" s="96" t="s">
        <v>27</v>
      </c>
      <c r="D18" s="97">
        <f>'Presupuesto Anual Franquicias'!C32</f>
        <v>37079.999999999993</v>
      </c>
      <c r="E18" s="98">
        <f>'Presupuesto Anual Franquicias'!D32</f>
        <v>10</v>
      </c>
      <c r="F18" s="128"/>
      <c r="G18" s="80"/>
      <c r="H18" s="93"/>
      <c r="I18" s="94" t="s">
        <v>97</v>
      </c>
      <c r="J18" s="95">
        <f>J19*'Multiplicando su Negocio'!$D$26</f>
        <v>4634.9999999999982</v>
      </c>
      <c r="K18" s="95">
        <f>K19*'Multiplicando su Negocio'!$D$26</f>
        <v>6952.4999999999982</v>
      </c>
      <c r="L18" s="95">
        <f>L19*'Multiplicando su Negocio'!$D$26</f>
        <v>9269.9999999999964</v>
      </c>
      <c r="N18" s="5">
        <f>N19*'Multiplicando su Negocio'!D26</f>
        <v>4634.9999999999982</v>
      </c>
      <c r="O18" s="24" t="s">
        <v>115</v>
      </c>
      <c r="P18" s="24"/>
      <c r="Q18" s="24"/>
    </row>
    <row r="19" spans="3:17" x14ac:dyDescent="0.3">
      <c r="C19" s="17" t="s">
        <v>28</v>
      </c>
      <c r="D19" s="19">
        <f>SUM(D7:D18)</f>
        <v>326303.99999999994</v>
      </c>
      <c r="E19" s="20">
        <v>1</v>
      </c>
      <c r="F19" s="53"/>
      <c r="G19" s="81"/>
      <c r="H19" s="93"/>
      <c r="I19" s="94" t="s">
        <v>98</v>
      </c>
      <c r="J19" s="95">
        <f>J20*'Multiplicando su Negocio'!$D$27</f>
        <v>772.49999999999977</v>
      </c>
      <c r="K19" s="95">
        <f>K20*'Multiplicando su Negocio'!$D$27</f>
        <v>1158.7499999999998</v>
      </c>
      <c r="L19" s="95">
        <f>L20*'Multiplicando su Negocio'!$D$27</f>
        <v>1544.9999999999995</v>
      </c>
      <c r="N19" s="5">
        <f>J20*'Multiplicando su Negocio'!D27</f>
        <v>772.49999999999977</v>
      </c>
      <c r="O19" s="23" t="s">
        <v>120</v>
      </c>
      <c r="P19" s="63"/>
    </row>
    <row r="20" spans="3:17" x14ac:dyDescent="0.3">
      <c r="H20" s="93"/>
      <c r="I20" s="94" t="s">
        <v>99</v>
      </c>
      <c r="J20" s="95">
        <f>J22*J26</f>
        <v>96.562499999999972</v>
      </c>
      <c r="K20" s="95">
        <f>K22*K26</f>
        <v>144.84374999999997</v>
      </c>
      <c r="L20" s="95">
        <f>L22*L26</f>
        <v>193.12499999999994</v>
      </c>
      <c r="N20" s="5">
        <f>N19/'Multiplicando su Negocio'!D27</f>
        <v>96.562499999999972</v>
      </c>
      <c r="O20" s="23" t="s">
        <v>121</v>
      </c>
    </row>
    <row r="21" spans="3:17" ht="15.6" x14ac:dyDescent="0.3">
      <c r="C21" s="134" t="s">
        <v>12</v>
      </c>
      <c r="D21" s="135"/>
      <c r="E21" s="135"/>
      <c r="F21" s="136"/>
      <c r="G21" s="79"/>
      <c r="H21" s="85"/>
      <c r="I21" s="84" t="s">
        <v>4</v>
      </c>
      <c r="J21" s="86">
        <f>+J17*'Presupuesto Anual Franquicias'!$P$10</f>
        <v>3707.9999999999995</v>
      </c>
      <c r="K21" s="86">
        <f>+K17*'Presupuesto Anual Franquicias'!$P$10</f>
        <v>5561.9999999999991</v>
      </c>
      <c r="L21" s="86">
        <f>+L17*'Presupuesto Anual Franquicias'!$P$10</f>
        <v>7415.9999999999991</v>
      </c>
      <c r="O21" s="64"/>
      <c r="P21" s="65" t="s">
        <v>113</v>
      </c>
      <c r="Q21" s="73">
        <v>0.55000000000000004</v>
      </c>
    </row>
    <row r="22" spans="3:17" ht="14.4" customHeight="1" x14ac:dyDescent="0.3">
      <c r="C22" s="14" t="s">
        <v>13</v>
      </c>
      <c r="D22" s="16">
        <f>D7*$E$34</f>
        <v>6674.3999999999987</v>
      </c>
      <c r="E22" s="15">
        <f t="shared" ref="E22:E33" si="0">E7</f>
        <v>9</v>
      </c>
      <c r="F22" s="128" t="s">
        <v>15</v>
      </c>
      <c r="G22" s="80"/>
      <c r="H22" s="85"/>
      <c r="I22" s="84" t="s">
        <v>6</v>
      </c>
      <c r="J22" s="86">
        <f>'Multiplicando su Negocio'!$D$10</f>
        <v>19</v>
      </c>
      <c r="K22" s="86">
        <f>+J22</f>
        <v>19</v>
      </c>
      <c r="L22" s="86">
        <f>+K22</f>
        <v>19</v>
      </c>
      <c r="O22" s="66"/>
      <c r="P22" s="67" t="s">
        <v>109</v>
      </c>
      <c r="Q22" s="33">
        <f>J17*Q21</f>
        <v>10196.999999999998</v>
      </c>
    </row>
    <row r="23" spans="3:17" x14ac:dyDescent="0.3">
      <c r="C23" s="14" t="s">
        <v>16</v>
      </c>
      <c r="D23" s="16">
        <f t="shared" ref="D23:D33" si="1">D8*$E$34</f>
        <v>3707.9999999999995</v>
      </c>
      <c r="E23" s="15">
        <f t="shared" si="0"/>
        <v>5</v>
      </c>
      <c r="F23" s="128"/>
      <c r="G23" s="80"/>
      <c r="H23" s="77"/>
      <c r="I23" s="78" t="s">
        <v>122</v>
      </c>
      <c r="J23" s="82">
        <f>J17/J22</f>
        <v>975.78947368421029</v>
      </c>
      <c r="K23" s="82">
        <f>K17/K22</f>
        <v>1463.6842105263154</v>
      </c>
      <c r="L23" s="82">
        <f>L17/L22</f>
        <v>1951.5789473684206</v>
      </c>
      <c r="N23" s="5"/>
      <c r="O23" s="66"/>
      <c r="P23" s="67" t="s">
        <v>111</v>
      </c>
      <c r="Q23" s="11">
        <v>0.05</v>
      </c>
    </row>
    <row r="24" spans="3:17" x14ac:dyDescent="0.3">
      <c r="C24" s="14" t="s">
        <v>17</v>
      </c>
      <c r="D24" s="16">
        <f t="shared" si="1"/>
        <v>5191.2</v>
      </c>
      <c r="E24" s="15">
        <f t="shared" si="0"/>
        <v>7</v>
      </c>
      <c r="F24" s="128"/>
      <c r="G24" s="80"/>
      <c r="H24" s="77"/>
      <c r="I24" s="78" t="s">
        <v>123</v>
      </c>
      <c r="J24" s="82">
        <f>J23/'Multiplicando su Negocio'!$D$28</f>
        <v>243.94736842105257</v>
      </c>
      <c r="K24" s="82">
        <f>K23/'Multiplicando su Negocio'!$D$28</f>
        <v>365.92105263157885</v>
      </c>
      <c r="L24" s="82">
        <f>L23/'Multiplicando su Negocio'!$D$28</f>
        <v>487.89473684210515</v>
      </c>
      <c r="N24" s="5">
        <f>J23*$J$22</f>
        <v>18539.999999999996</v>
      </c>
      <c r="O24" s="66"/>
      <c r="P24" s="67" t="s">
        <v>110</v>
      </c>
      <c r="Q24" s="33">
        <f>Q22*Q23</f>
        <v>509.84999999999991</v>
      </c>
    </row>
    <row r="25" spans="3:17" x14ac:dyDescent="0.3">
      <c r="C25" s="14" t="s">
        <v>19</v>
      </c>
      <c r="D25" s="16">
        <f t="shared" si="1"/>
        <v>5191.2</v>
      </c>
      <c r="E25" s="15">
        <f t="shared" si="0"/>
        <v>7</v>
      </c>
      <c r="F25" s="128"/>
      <c r="G25" s="80"/>
      <c r="H25" s="77"/>
      <c r="I25" s="78" t="s">
        <v>124</v>
      </c>
      <c r="J25" s="82">
        <f>J24/'Multiplicando su Negocio'!$D$26</f>
        <v>40.657894736842096</v>
      </c>
      <c r="K25" s="82">
        <f>K24/'Multiplicando su Negocio'!$D$26</f>
        <v>60.986842105263143</v>
      </c>
      <c r="L25" s="82">
        <f>L24/'Multiplicando su Negocio'!$D$26</f>
        <v>81.315789473684191</v>
      </c>
      <c r="N25" s="5">
        <f>J24*$J$22</f>
        <v>4634.9999999999991</v>
      </c>
      <c r="O25" s="66"/>
      <c r="P25" s="67" t="s">
        <v>112</v>
      </c>
      <c r="Q25" s="68">
        <v>15</v>
      </c>
    </row>
    <row r="26" spans="3:17" x14ac:dyDescent="0.3">
      <c r="C26" s="14" t="s">
        <v>20</v>
      </c>
      <c r="D26" s="16">
        <f t="shared" si="1"/>
        <v>5191.2</v>
      </c>
      <c r="E26" s="15">
        <f t="shared" si="0"/>
        <v>7</v>
      </c>
      <c r="F26" s="128"/>
      <c r="G26" s="80"/>
      <c r="H26" s="77"/>
      <c r="I26" s="78" t="s">
        <v>125</v>
      </c>
      <c r="J26" s="82">
        <f>J25/'Multiplicando su Negocio'!$D$27</f>
        <v>5.0822368421052619</v>
      </c>
      <c r="K26" s="82">
        <f>K25/'Multiplicando su Negocio'!$D$27</f>
        <v>7.6233552631578929</v>
      </c>
      <c r="L26" s="82">
        <f>L25/'Multiplicando su Negocio'!$D$27</f>
        <v>10.164473684210524</v>
      </c>
      <c r="N26" s="5">
        <f>J25*$J$22</f>
        <v>772.49999999999977</v>
      </c>
      <c r="O26" s="71"/>
      <c r="P26" s="72" t="s">
        <v>114</v>
      </c>
      <c r="Q26" s="74">
        <f>Q24*Q25</f>
        <v>7647.7499999999982</v>
      </c>
    </row>
    <row r="27" spans="3:17" x14ac:dyDescent="0.3">
      <c r="C27" s="14" t="s">
        <v>21</v>
      </c>
      <c r="D27" s="16">
        <f t="shared" si="1"/>
        <v>5932.7999999999993</v>
      </c>
      <c r="E27" s="15">
        <f t="shared" si="0"/>
        <v>8</v>
      </c>
      <c r="F27" s="128"/>
      <c r="G27" s="80"/>
      <c r="H27" s="88"/>
      <c r="I27" s="87" t="s">
        <v>127</v>
      </c>
      <c r="J27" s="89">
        <f>J28*'Multiplicando su Negocio'!$D$28</f>
        <v>440.81717451523531</v>
      </c>
      <c r="K27" s="89">
        <f>K28*'Multiplicando su Negocio'!$D$28</f>
        <v>661.22576177285293</v>
      </c>
      <c r="L27" s="89">
        <f>L28*'Multiplicando su Negocio'!$D$28</f>
        <v>881.63434903047062</v>
      </c>
      <c r="N27" s="5">
        <f>J26*$J$22</f>
        <v>96.562499999999972</v>
      </c>
    </row>
    <row r="28" spans="3:17" x14ac:dyDescent="0.3">
      <c r="C28" s="14" t="s">
        <v>22</v>
      </c>
      <c r="D28" s="16">
        <f t="shared" si="1"/>
        <v>4449.5999999999995</v>
      </c>
      <c r="E28" s="15">
        <f t="shared" si="0"/>
        <v>6</v>
      </c>
      <c r="F28" s="128"/>
      <c r="G28" s="80"/>
      <c r="H28" s="88"/>
      <c r="I28" s="87" t="s">
        <v>128</v>
      </c>
      <c r="J28" s="89">
        <f>J29*'Multiplicando su Negocio'!$D$26</f>
        <v>110.20429362880883</v>
      </c>
      <c r="K28" s="89">
        <f>K29*'Multiplicando su Negocio'!$D$26</f>
        <v>165.30644044321323</v>
      </c>
      <c r="L28" s="89">
        <f>L29*'Multiplicando su Negocio'!$D$26</f>
        <v>220.40858725761765</v>
      </c>
      <c r="N28" s="5">
        <f>(J27*$J$22)*'Multiplicando su Negocio'!$D$29</f>
        <v>18539.999999999996</v>
      </c>
    </row>
    <row r="29" spans="3:17" x14ac:dyDescent="0.3">
      <c r="C29" s="14" t="s">
        <v>23</v>
      </c>
      <c r="D29" s="16">
        <f t="shared" si="1"/>
        <v>5191.2</v>
      </c>
      <c r="E29" s="15">
        <f t="shared" si="0"/>
        <v>7</v>
      </c>
      <c r="F29" s="128"/>
      <c r="G29" s="80"/>
      <c r="H29" s="88"/>
      <c r="I29" s="87" t="s">
        <v>129</v>
      </c>
      <c r="J29" s="89">
        <f>J30*'Multiplicando su Negocio'!$D$27</f>
        <v>18.367382271468138</v>
      </c>
      <c r="K29" s="89">
        <f>K30*'Multiplicando su Negocio'!$D$27</f>
        <v>27.551073407202207</v>
      </c>
      <c r="L29" s="89">
        <f>L30*'Multiplicando su Negocio'!$D$27</f>
        <v>36.734764542936276</v>
      </c>
      <c r="N29" s="5">
        <f>(J28*$J$22)*'Multiplicando su Negocio'!$D$29</f>
        <v>4634.9999999999991</v>
      </c>
    </row>
    <row r="30" spans="3:17" x14ac:dyDescent="0.3">
      <c r="C30" s="14" t="s">
        <v>24</v>
      </c>
      <c r="D30" s="16">
        <f t="shared" si="1"/>
        <v>5191.2</v>
      </c>
      <c r="E30" s="15">
        <f t="shared" si="0"/>
        <v>7</v>
      </c>
      <c r="F30" s="128"/>
      <c r="G30" s="80"/>
      <c r="H30" s="88"/>
      <c r="I30" s="87" t="s">
        <v>130</v>
      </c>
      <c r="J30" s="89">
        <f>J26/'Multiplicando su Negocio'!$D$29</f>
        <v>2.2959227839335172</v>
      </c>
      <c r="K30" s="89">
        <f>K26/'Multiplicando su Negocio'!$D$29</f>
        <v>3.4438841759002758</v>
      </c>
      <c r="L30" s="89">
        <f>L26/'Multiplicando su Negocio'!$D$29</f>
        <v>4.5918455678670345</v>
      </c>
      <c r="N30" s="5">
        <f>(J29*$J$22)*'Multiplicando su Negocio'!$D$29</f>
        <v>772.49999999999989</v>
      </c>
    </row>
    <row r="31" spans="3:17" x14ac:dyDescent="0.3">
      <c r="C31" s="14" t="s">
        <v>25</v>
      </c>
      <c r="D31" s="16">
        <f t="shared" si="1"/>
        <v>5191.2</v>
      </c>
      <c r="E31" s="15">
        <f t="shared" si="0"/>
        <v>7</v>
      </c>
      <c r="F31" s="128"/>
      <c r="G31" s="80"/>
      <c r="H31" s="91"/>
      <c r="I31" s="83" t="s">
        <v>126</v>
      </c>
      <c r="J31" s="90">
        <f>J26*'Multiplicando su Negocio'!$D$29</f>
        <v>11.249999999999998</v>
      </c>
      <c r="K31" s="90">
        <f>K26*'Multiplicando su Negocio'!$D$29</f>
        <v>16.875</v>
      </c>
      <c r="L31" s="90">
        <f>L26*'Multiplicando su Negocio'!$D$29</f>
        <v>22.499999999999996</v>
      </c>
      <c r="N31" s="5">
        <f>(J30*$J$22)*'Multiplicando su Negocio'!$D$29</f>
        <v>96.562499999999986</v>
      </c>
    </row>
    <row r="32" spans="3:17" x14ac:dyDescent="0.3">
      <c r="C32" s="14" t="s">
        <v>26</v>
      </c>
      <c r="D32" s="16">
        <f t="shared" si="1"/>
        <v>5932.7999999999993</v>
      </c>
      <c r="E32" s="15">
        <f t="shared" si="0"/>
        <v>8</v>
      </c>
      <c r="F32" s="128"/>
      <c r="G32" s="80"/>
      <c r="H32" s="91"/>
      <c r="I32" s="83" t="s">
        <v>131</v>
      </c>
      <c r="J32" s="92">
        <f>J31*'Multiplicando su Negocio'!$D$27</f>
        <v>89.999999999999986</v>
      </c>
      <c r="K32" s="92">
        <f>K31*'Multiplicando su Negocio'!$D$27</f>
        <v>135</v>
      </c>
      <c r="L32" s="92">
        <f>L31*'Multiplicando su Negocio'!$D$27</f>
        <v>179.99999999999997</v>
      </c>
    </row>
    <row r="33" spans="3:12" x14ac:dyDescent="0.3">
      <c r="C33" s="14" t="s">
        <v>27</v>
      </c>
      <c r="D33" s="16">
        <f t="shared" si="1"/>
        <v>7415.9999999999991</v>
      </c>
      <c r="E33" s="15">
        <f t="shared" si="0"/>
        <v>10</v>
      </c>
      <c r="F33" s="128"/>
      <c r="G33" s="80"/>
      <c r="H33" s="91"/>
      <c r="I33" s="83" t="s">
        <v>10</v>
      </c>
      <c r="J33" s="92">
        <f>'Multiplicando su Negocio'!$D$16*J10</f>
        <v>4.5</v>
      </c>
      <c r="K33" s="92">
        <f>'Multiplicando su Negocio'!$D$16*K10</f>
        <v>5.5</v>
      </c>
      <c r="L33" s="92">
        <f>'Multiplicando su Negocio'!$D$16*L10</f>
        <v>6.5</v>
      </c>
    </row>
    <row r="34" spans="3:12" x14ac:dyDescent="0.3">
      <c r="C34" s="17" t="s">
        <v>28</v>
      </c>
      <c r="D34" s="19">
        <f>SUM(D22:D33)</f>
        <v>65260.799999999988</v>
      </c>
      <c r="E34" s="20">
        <f>'Presupuesto Anual Franquicias'!P10</f>
        <v>0.2</v>
      </c>
      <c r="F34" s="53"/>
      <c r="G34" s="81"/>
      <c r="H34" s="91"/>
      <c r="I34" s="83" t="s">
        <v>92</v>
      </c>
      <c r="J34" s="92">
        <f>J32/J33</f>
        <v>19.999999999999996</v>
      </c>
      <c r="K34" s="92">
        <f t="shared" ref="K34:L34" si="2">K32/K33</f>
        <v>24.545454545454547</v>
      </c>
      <c r="L34" s="92">
        <f t="shared" si="2"/>
        <v>27.692307692307686</v>
      </c>
    </row>
  </sheetData>
  <sheetProtection algorithmName="SHA-512" hashValue="D3JXBr1YIbVqOIheh4POm0r/Lm5J0O/GtGsy/SH76Ya71EORd5IULI0OwqVcPTKSsmqIMnBlci/aBbQs7PG9sw==" saltValue="cPYKPn5RQh8DmscdMlZNHQ==" spinCount="100000" sheet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2022-10-27T17:22:09Z</dcterms:modified>
</cp:coreProperties>
</file>