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Franquiciadores Centroamérica\Franquiciadores - División Franquiciantes\"/>
    </mc:Choice>
  </mc:AlternateContent>
  <xr:revisionPtr revIDLastSave="0" documentId="13_ncr:1_{50F719FB-A592-42A3-A6D5-B71B8BECEFF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icio" sheetId="7" r:id="rId1"/>
    <sheet name="Multiplicando su Negocio" sheetId="5" r:id="rId2"/>
    <sheet name="Presupuesto Anual Franquicias" sheetId="6" r:id="rId3"/>
    <sheet name="Viabilidad para Franquiciar" sheetId="1" r:id="rId4"/>
  </sheets>
  <externalReferences>
    <externalReference r:id="rId5"/>
  </externalReferences>
  <definedNames>
    <definedName name="A" localSheetId="0">Tabla36</definedName>
    <definedName name="A" localSheetId="1">Tabla36</definedName>
    <definedName name="A" localSheetId="2">Tabla36</definedName>
    <definedName name="A">Tabla36</definedName>
    <definedName name="ACCIDENTE" localSheetId="0">#REF!</definedName>
    <definedName name="ACCIDENTE" localSheetId="1">#REF!</definedName>
    <definedName name="ACCIDENTE" localSheetId="2">#REF!</definedName>
    <definedName name="ACCIDENTE">#REF!</definedName>
    <definedName name="Cambios" localSheetId="1">#REF!</definedName>
    <definedName name="Cambios" localSheetId="2">#REF!</definedName>
    <definedName name="Cambios">#REF!</definedName>
    <definedName name="CódigoTIP.CTE.">'[1]Generalidades de Información'!$B$7:$B$29</definedName>
    <definedName name="Córdobas" localSheetId="1">#REF!</definedName>
    <definedName name="Córdobas" localSheetId="2">#REF!</definedName>
    <definedName name="Córdobas">#REF!</definedName>
    <definedName name="Elaborado" localSheetId="1">#REF!</definedName>
    <definedName name="Elaborado" localSheetId="2">#REF!</definedName>
    <definedName name="Elaborado">#REF!</definedName>
    <definedName name="hoal" localSheetId="1">#REF!</definedName>
    <definedName name="hoal" localSheetId="2">#REF!</definedName>
    <definedName name="hoal">#REF!</definedName>
    <definedName name="no" localSheetId="1">#REF!</definedName>
    <definedName name="no" localSheetId="2">#REF!</definedName>
    <definedName name="no">#REF!</definedName>
    <definedName name="TipoClientes">'[1]Generalidades de Información'!$B$7:$B$29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5" l="1"/>
  <c r="D10" i="5"/>
  <c r="J10" i="1" l="1"/>
  <c r="L10" i="5" l="1"/>
  <c r="M7" i="5" s="1"/>
  <c r="K10" i="5"/>
  <c r="K15" i="5" s="1"/>
  <c r="D29" i="5" s="1"/>
  <c r="J33" i="1"/>
  <c r="M9" i="5" l="1"/>
  <c r="M10" i="5"/>
  <c r="M8" i="5"/>
  <c r="D32" i="6" l="1"/>
  <c r="F22" i="6"/>
  <c r="F23" i="6"/>
  <c r="F24" i="6"/>
  <c r="F25" i="6"/>
  <c r="F26" i="6"/>
  <c r="F27" i="6"/>
  <c r="F28" i="6"/>
  <c r="F29" i="6"/>
  <c r="F30" i="6"/>
  <c r="F31" i="6"/>
  <c r="F32" i="6"/>
  <c r="F21" i="6"/>
  <c r="D31" i="6"/>
  <c r="D30" i="6"/>
  <c r="D29" i="6"/>
  <c r="D27" i="6"/>
  <c r="D26" i="6"/>
  <c r="D25" i="6"/>
  <c r="D23" i="6"/>
  <c r="D22" i="6"/>
  <c r="D21" i="6"/>
  <c r="E15" i="1" l="1"/>
  <c r="E16" i="1"/>
  <c r="E12" i="1"/>
  <c r="E17" i="1"/>
  <c r="E9" i="1"/>
  <c r="E11" i="1"/>
  <c r="E7" i="1"/>
  <c r="E8" i="1"/>
  <c r="E13" i="1"/>
  <c r="E18" i="1"/>
  <c r="D24" i="6"/>
  <c r="D28" i="6"/>
  <c r="J26" i="5"/>
  <c r="J20" i="5"/>
  <c r="E8" i="6" s="1"/>
  <c r="E10" i="1" l="1"/>
  <c r="E14" i="1"/>
  <c r="D20" i="5"/>
  <c r="D18" i="5" l="1"/>
  <c r="K20" i="5" s="1"/>
  <c r="C29" i="6" l="1"/>
  <c r="D15" i="1" s="1"/>
  <c r="C26" i="6"/>
  <c r="D12" i="1" s="1"/>
  <c r="C23" i="6"/>
  <c r="D9" i="1" s="1"/>
  <c r="C21" i="6"/>
  <c r="D7" i="1" s="1"/>
  <c r="C31" i="6"/>
  <c r="D17" i="1" s="1"/>
  <c r="C22" i="6"/>
  <c r="D8" i="1" s="1"/>
  <c r="C32" i="6"/>
  <c r="D18" i="1" s="1"/>
  <c r="C27" i="6"/>
  <c r="D13" i="1" s="1"/>
  <c r="C30" i="6"/>
  <c r="D16" i="1" s="1"/>
  <c r="C25" i="6"/>
  <c r="D11" i="1" s="1"/>
  <c r="C24" i="6"/>
  <c r="D10" i="1" s="1"/>
  <c r="C28" i="6"/>
  <c r="D14" i="1" s="1"/>
  <c r="J22" i="1"/>
  <c r="K22" i="1" s="1"/>
  <c r="K21" i="5"/>
  <c r="E33" i="1"/>
  <c r="E32" i="1"/>
  <c r="E31" i="1"/>
  <c r="E30" i="1"/>
  <c r="E29" i="1"/>
  <c r="E28" i="1"/>
  <c r="E27" i="1"/>
  <c r="E26" i="1"/>
  <c r="E25" i="1"/>
  <c r="E24" i="1"/>
  <c r="E23" i="1"/>
  <c r="E22" i="1"/>
  <c r="K10" i="1"/>
  <c r="L22" i="1" l="1"/>
  <c r="L10" i="1"/>
  <c r="L33" i="1" s="1"/>
  <c r="K33" i="1"/>
  <c r="K26" i="5"/>
  <c r="G8" i="6"/>
  <c r="K27" i="5" l="1"/>
  <c r="K22" i="5"/>
  <c r="K23" i="5" s="1"/>
  <c r="N21" i="6"/>
  <c r="K21" i="6"/>
  <c r="K6" i="6"/>
  <c r="L17" i="1"/>
  <c r="L23" i="1" s="1"/>
  <c r="C33" i="6"/>
  <c r="J17" i="1"/>
  <c r="N31" i="6"/>
  <c r="K31" i="6"/>
  <c r="N27" i="6"/>
  <c r="K27" i="6"/>
  <c r="N23" i="6"/>
  <c r="K23" i="6"/>
  <c r="K7" i="6"/>
  <c r="K24" i="6"/>
  <c r="N24" i="6"/>
  <c r="N29" i="6"/>
  <c r="K29" i="6"/>
  <c r="N25" i="6"/>
  <c r="K25" i="6"/>
  <c r="N26" i="6"/>
  <c r="K26" i="6"/>
  <c r="N22" i="6"/>
  <c r="K22" i="6"/>
  <c r="K8" i="6"/>
  <c r="N28" i="6"/>
  <c r="K28" i="6"/>
  <c r="N32" i="6"/>
  <c r="K32" i="6"/>
  <c r="K9" i="6"/>
  <c r="K30" i="6"/>
  <c r="N30" i="6"/>
  <c r="K28" i="5"/>
  <c r="L8" i="6" l="1"/>
  <c r="Q22" i="1"/>
  <c r="Q24" i="1" s="1"/>
  <c r="Q26" i="1" s="1"/>
  <c r="K17" i="1"/>
  <c r="K23" i="1" s="1"/>
  <c r="K24" i="1" s="1"/>
  <c r="K25" i="1" s="1"/>
  <c r="K26" i="1" s="1"/>
  <c r="M9" i="6"/>
  <c r="L7" i="6"/>
  <c r="M7" i="6"/>
  <c r="K10" i="6"/>
  <c r="J23" i="1"/>
  <c r="N24" i="1" s="1"/>
  <c r="L6" i="6"/>
  <c r="K33" i="6"/>
  <c r="L9" i="6"/>
  <c r="M8" i="6"/>
  <c r="M6" i="6"/>
  <c r="N33" i="6"/>
  <c r="L24" i="1"/>
  <c r="L25" i="1" s="1"/>
  <c r="L26" i="1" s="1"/>
  <c r="K29" i="5"/>
  <c r="K24" i="5"/>
  <c r="K30" i="5" s="1"/>
  <c r="N8" i="6" l="1"/>
  <c r="N7" i="6"/>
  <c r="K20" i="1"/>
  <c r="K19" i="1" s="1"/>
  <c r="K18" i="1" s="1"/>
  <c r="K30" i="1"/>
  <c r="K29" i="1" s="1"/>
  <c r="K28" i="1" s="1"/>
  <c r="K27" i="1" s="1"/>
  <c r="K31" i="1"/>
  <c r="L20" i="1"/>
  <c r="L19" i="1" s="1"/>
  <c r="L18" i="1" s="1"/>
  <c r="L31" i="1"/>
  <c r="L30" i="1"/>
  <c r="L29" i="1" s="1"/>
  <c r="L28" i="1" s="1"/>
  <c r="L27" i="1" s="1"/>
  <c r="J24" i="1"/>
  <c r="N25" i="1" s="1"/>
  <c r="N9" i="6"/>
  <c r="L10" i="6"/>
  <c r="N6" i="6"/>
  <c r="M10" i="6"/>
  <c r="J25" i="1" l="1"/>
  <c r="N26" i="1" s="1"/>
  <c r="K32" i="1"/>
  <c r="K34" i="1" s="1"/>
  <c r="L32" i="1"/>
  <c r="L34" i="1" s="1"/>
  <c r="N10" i="6"/>
  <c r="P10" i="6" s="1"/>
  <c r="E34" i="1" s="1"/>
  <c r="D19" i="1"/>
  <c r="D22" i="1" l="1"/>
  <c r="D29" i="1"/>
  <c r="D28" i="1"/>
  <c r="D26" i="1"/>
  <c r="D32" i="1"/>
  <c r="D25" i="1"/>
  <c r="D31" i="1"/>
  <c r="D33" i="1"/>
  <c r="D23" i="1"/>
  <c r="D27" i="1"/>
  <c r="D30" i="1"/>
  <c r="D24" i="1"/>
  <c r="J26" i="1"/>
  <c r="N27" i="1" s="1"/>
  <c r="L21" i="1"/>
  <c r="J21" i="1"/>
  <c r="K21" i="1"/>
  <c r="Q7" i="1" l="1"/>
  <c r="B1" i="1" s="1"/>
  <c r="J31" i="1"/>
  <c r="J30" i="1"/>
  <c r="N31" i="1" s="1"/>
  <c r="Q12" i="1"/>
  <c r="J20" i="1"/>
  <c r="N19" i="1" s="1"/>
  <c r="O4" i="1"/>
  <c r="O5" i="1"/>
  <c r="I13" i="1" l="1"/>
  <c r="N18" i="1"/>
  <c r="N17" i="1" s="1"/>
  <c r="N20" i="1"/>
  <c r="Q8" i="1"/>
  <c r="J29" i="1"/>
  <c r="N30" i="1" s="1"/>
  <c r="J19" i="1"/>
  <c r="J18" i="1" s="1"/>
  <c r="Q11" i="1"/>
  <c r="Q13" i="1" s="1"/>
  <c r="Q14" i="1" s="1"/>
  <c r="Q9" i="1"/>
  <c r="J32" i="1"/>
  <c r="J34" i="1" s="1"/>
  <c r="Q10" i="1" s="1"/>
  <c r="D34" i="1"/>
  <c r="J28" i="1" l="1"/>
  <c r="N29" i="1" s="1"/>
  <c r="P16" i="1"/>
  <c r="Q16" i="1"/>
  <c r="J27" i="1" l="1"/>
  <c r="N28" i="1" s="1"/>
</calcChain>
</file>

<file path=xl/sharedStrings.xml><?xml version="1.0" encoding="utf-8"?>
<sst xmlns="http://schemas.openxmlformats.org/spreadsheetml/2006/main" count="224" uniqueCount="147">
  <si>
    <t>BAJO</t>
  </si>
  <si>
    <t>MEDIO</t>
  </si>
  <si>
    <t>ALTO</t>
  </si>
  <si>
    <t>Comida Rápida</t>
  </si>
  <si>
    <t>ganancias netas mes</t>
  </si>
  <si>
    <t>Comida Ejecutiva</t>
  </si>
  <si>
    <t>ticket promedio</t>
  </si>
  <si>
    <t>Comida a la Carta</t>
  </si>
  <si>
    <t>Ocupación de Mesas/Temporada</t>
  </si>
  <si>
    <t>Aumento</t>
  </si>
  <si>
    <t>ocupación mesas/temporada/día</t>
  </si>
  <si>
    <t>INGRESOS</t>
  </si>
  <si>
    <t>GANANCIAS</t>
  </si>
  <si>
    <t>Enero</t>
  </si>
  <si>
    <t>(estacionalidad de las ventas)</t>
  </si>
  <si>
    <t>(supuesto de ganancias conforme estacionalidad de las ventas)</t>
  </si>
  <si>
    <t>Febrero</t>
  </si>
  <si>
    <t>Marzo</t>
  </si>
  <si>
    <t>Ingresos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</si>
  <si>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</si>
  <si>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</si>
  <si>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</si>
  <si>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</si>
  <si>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</si>
  <si>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</si>
  <si>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</si>
  <si>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</si>
  <si>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</si>
  <si>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</si>
  <si>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Seleccione tipo de Ticket Promedio</t>
  </si>
  <si>
    <t>Identifique su capacidad instalada</t>
  </si>
  <si>
    <t>Sillas</t>
  </si>
  <si>
    <t>Sillas por Mesa</t>
  </si>
  <si>
    <t>Ticket Promedio</t>
  </si>
  <si>
    <t>Elija por favor solamente el giro principal de su restaurante.</t>
  </si>
  <si>
    <t>Examinando su capacidad de atención</t>
  </si>
  <si>
    <t>¿Cuántas semanas al mes abre?</t>
  </si>
  <si>
    <t>(Capacidad Instalada Total) Mesas</t>
  </si>
  <si>
    <t>Acá identificaremos cuántos clientes debe atender al día.</t>
  </si>
  <si>
    <t>Escriba respuestas en los cuadros amarillos. Gracias.</t>
  </si>
  <si>
    <t>Escriba el tikect promedio en los cuadros amarillos. Gracias.</t>
  </si>
  <si>
    <t>Capacidad de atención de su negocio a clientes al mes.</t>
  </si>
  <si>
    <t>Platos y Bebidas a vender</t>
  </si>
  <si>
    <t>(promedio al mes)</t>
  </si>
  <si>
    <t>(promedio a la semana)</t>
  </si>
  <si>
    <t>(promedio al día)</t>
  </si>
  <si>
    <t>(promedio por hora)</t>
  </si>
  <si>
    <t>Clientes a atender</t>
  </si>
  <si>
    <t>En promedio, ¿cuántos productos se venden por cliente?</t>
  </si>
  <si>
    <t>Días que su negocio abre a la semana</t>
  </si>
  <si>
    <t>Horas Laborales del Local por día</t>
  </si>
  <si>
    <t>En general, del 100% de mesas, ¿cuántas se ocupan al día?</t>
  </si>
  <si>
    <t>Conforme su instinto de negocios, ¿cuánto puntaje del 1 al 10 en ingresos califica el resto de los meses?</t>
  </si>
  <si>
    <t>Elija por favor un mes que usted identifique, se aproxima al valor de ventas calculado:</t>
  </si>
  <si>
    <t>Comparando su experiencia en ventas de su negocio, este ingreso promedio calculado, ¿qué puntaje le daría del 1 al 10?:</t>
  </si>
  <si>
    <t>Debemos identificar cuántos ingresos debería hacer su negocio por mes según estacionalidad de ventas.</t>
  </si>
  <si>
    <t>En escala del 1 al 10, ¿cuánta puntuación en ventas calificaría el mes más bajo que acaba de elegir?</t>
  </si>
  <si>
    <t>Por favor, siga las instrucciones siguientes:</t>
  </si>
  <si>
    <t>en ingresos promedios calculados</t>
  </si>
  <si>
    <r>
      <t xml:space="preserve">Nuestra intención es lograr saber si las </t>
    </r>
    <r>
      <rPr>
        <b/>
        <i/>
        <u/>
        <sz val="11"/>
        <color theme="1"/>
        <rFont val="Calibri"/>
        <family val="2"/>
        <scheme val="minor"/>
      </rPr>
      <t>ventas promedios calculadas</t>
    </r>
    <r>
      <rPr>
        <b/>
        <i/>
        <sz val="11"/>
        <color theme="1"/>
        <rFont val="Calibri"/>
        <family val="2"/>
        <scheme val="minor"/>
      </rPr>
      <t xml:space="preserve"> se identifican con algún mes del año según su</t>
    </r>
  </si>
  <si>
    <t>COSTOS</t>
  </si>
  <si>
    <t>GASTOS</t>
  </si>
  <si>
    <t>Presupuesto Trimestral y Ganancias Proyectadas</t>
  </si>
  <si>
    <t>1er Trimestre</t>
  </si>
  <si>
    <t>2do Trimestre</t>
  </si>
  <si>
    <t>3er Trimestre</t>
  </si>
  <si>
    <t>4to Trimestre</t>
  </si>
  <si>
    <t>EBITDA</t>
  </si>
  <si>
    <t>Acumulado Anual</t>
  </si>
  <si>
    <t>Costos</t>
  </si>
  <si>
    <t>Gastos</t>
  </si>
  <si>
    <t>Identificando cuánto vender al mes, y acumulado anual en ingresos</t>
  </si>
  <si>
    <t>Calificando mes bajo y mes medio en ventas del negocio</t>
  </si>
  <si>
    <t>Identificando cuánto es el costo y el gasto (aproximado)</t>
  </si>
  <si>
    <t>Acá nos daremos una idea rápida de cuánto es el comportamiento general aproximado</t>
  </si>
  <si>
    <t>mensual de los costos y los gastos del negocio.</t>
  </si>
  <si>
    <t>Para calcular los costos de su negocio,</t>
  </si>
  <si>
    <t>por favor calcule un porcentaje general</t>
  </si>
  <si>
    <t>aproximado a su negocio.</t>
  </si>
  <si>
    <t>Para calcular los gastos de su negocio,</t>
  </si>
  <si>
    <t>Giro: Alimentos y Bebidas</t>
  </si>
  <si>
    <t>Cálculo promedio del precio de venta</t>
  </si>
  <si>
    <t>Precio de venta más alto</t>
  </si>
  <si>
    <t>Precio de venta más bajo</t>
  </si>
  <si>
    <t>Precio de venta medio</t>
  </si>
  <si>
    <t>¿Cuántos platos en el menú?</t>
  </si>
  <si>
    <t>Identificaremos cuántos platos tiene su menú y cantidades que vende al día.</t>
  </si>
  <si>
    <t>Solamente poner los platos comunes de ventas, no los especiales.</t>
  </si>
  <si>
    <t>Precio promedio de venta</t>
  </si>
  <si>
    <t>PLATOS</t>
  </si>
  <si>
    <t>BEBIDAS</t>
  </si>
  <si>
    <t>Ticket Promedio por Persona</t>
  </si>
  <si>
    <t>productividad/mesa/día-productos</t>
  </si>
  <si>
    <t>Nota: EBITDA es un resultado de ganancias antes de impuestos, amortizaciones y depreciaciones.</t>
  </si>
  <si>
    <t>Ingresos versus Ganancias por mes, anual</t>
  </si>
  <si>
    <t>Parámetros generales para Franquiciar</t>
  </si>
  <si>
    <t>ingresos brutos al mes (por ventas)</t>
  </si>
  <si>
    <t>ingresos brutos a la semana (por ventas)</t>
  </si>
  <si>
    <t>ingresos brutos al día (por ventas)</t>
  </si>
  <si>
    <t>ingresos brutos por hora (por ventas)</t>
  </si>
  <si>
    <t>Clientes por Hora:</t>
  </si>
  <si>
    <t>Productos por Hora/Cliente:</t>
  </si>
  <si>
    <t>Productos por Hora/Mesa:</t>
  </si>
  <si>
    <t>Facturaciones por Hora:</t>
  </si>
  <si>
    <t>Ingresos por Hora:</t>
  </si>
  <si>
    <t>Ganancias por Hora:</t>
  </si>
  <si>
    <t>Porcentaje de Ganancias:</t>
  </si>
  <si>
    <t>Ganancias según Industria:</t>
  </si>
  <si>
    <t>¿Su negocio puede ser Franquciable?</t>
  </si>
  <si>
    <t>Ingresos Por Franquicia</t>
  </si>
  <si>
    <t>¿Cuánto recibirá usted al mes?</t>
  </si>
  <si>
    <t>¿Cuánto se le pedirá al mes?</t>
  </si>
  <si>
    <t>¿Cuántas franquicias tendrá?</t>
  </si>
  <si>
    <t>Sus franquicias venden menos</t>
  </si>
  <si>
    <t>¿Cuánto cobrará TOTAL al mes?</t>
  </si>
  <si>
    <t>Ganancias si Franquicia su negocio</t>
  </si>
  <si>
    <t xml:space="preserve">Favor logre identificar cuánto crece porcentualmente </t>
  </si>
  <si>
    <t>temporada baja a media, y media a alta:</t>
  </si>
  <si>
    <t xml:space="preserve">la ocupación de sus mesas conforme pasa de una </t>
  </si>
  <si>
    <t>Su Negocio será Franquiciado:</t>
  </si>
  <si>
    <t>Suponiendo sus franquiciados venden menos que su negocio,</t>
  </si>
  <si>
    <t>digite un porcentaje para crear escenario de sus ganancias:</t>
  </si>
  <si>
    <t>facturaciones promedio/mes</t>
  </si>
  <si>
    <t>facturaciones promedio/semana</t>
  </si>
  <si>
    <t>facturaciones promedio/día</t>
  </si>
  <si>
    <t>facturaciones promedio/hora</t>
  </si>
  <si>
    <t>promedio productos facturados/hora</t>
  </si>
  <si>
    <t>clientes promedio/mes</t>
  </si>
  <si>
    <t>clientes promedio/semana</t>
  </si>
  <si>
    <t>clientes promedio/día</t>
  </si>
  <si>
    <t>clientes promedio/hora</t>
  </si>
  <si>
    <t>productos promedio/día</t>
  </si>
  <si>
    <t>AUDITADO</t>
  </si>
  <si>
    <t>Visite nuestra página web</t>
  </si>
  <si>
    <t>Capacidad Servicio Clientes por Día (mesas que se ocupan)</t>
  </si>
  <si>
    <t>Conforme 1 año de ventas, elija el mes que por experiencia calificaría como el más bajo en ventas.</t>
  </si>
  <si>
    <t>Ventas Medias</t>
  </si>
  <si>
    <t>Procurar primero repetir los valores elegidos antes:</t>
  </si>
  <si>
    <t>Conforme al puntaje calificado arriba, describa por favor qué tipo de ventas es (bajas, medias o altas):</t>
  </si>
  <si>
    <t>Analice cuánto ingresará sus franquicias al mes y cuánto ganarán.</t>
  </si>
  <si>
    <t>Comportamiento Potencial de sus Franquicias</t>
  </si>
  <si>
    <t>Cálculo promedio-mes de ingresos para sus Franquicias</t>
  </si>
  <si>
    <t>¿Cuánto en ingresos deben hacer sus franquicias al mes en ventas mínimas?</t>
  </si>
  <si>
    <t>4 Sencillos Datos para identificar si es VIABLE multiplicar su negocio como modelo de franquicia</t>
  </si>
  <si>
    <t>Comportamiento Financiero: una idea rápida de la Factibilidad y Rentabilidad de su Negocio para Franquiciarlo</t>
  </si>
  <si>
    <t>experiencia en las ventas de su negocio, así luego calificarlo en escala del 1 a 10 para determinar una estacionalidad</t>
  </si>
  <si>
    <t xml:space="preserve">de las ventas (ventas por temporadas altas, medias y bajas) acorde a su giro de negocio actual.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</si>
</sst>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0.0%"/>
    <numFmt numFmtId="166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8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sz val="18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38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/>
    </xf>
    <xf numFmtId="164" fontId="0" fillId="0" borderId="0" xfId="0" applyNumberFormat="1" applyBorder="1"/>
    <xf numFmtId="0" fontId="1" fillId="5" borderId="1" xfId="0" applyFont="1" applyFill="1" applyBorder="1" applyAlignment="1">
      <alignment horizontal="right"/>
    </xf>
    <xf numFmtId="164" fontId="1" fillId="5" borderId="3" xfId="0" applyNumberFormat="1" applyFont="1" applyFill="1" applyBorder="1"/>
    <xf numFmtId="164" fontId="1" fillId="5" borderId="2" xfId="0" applyNumberFormat="1" applyFont="1" applyFill="1" applyBorder="1"/>
    <xf numFmtId="9" fontId="1" fillId="5" borderId="3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0" fontId="0" fillId="0" borderId="0" xfId="0" applyBorder="1"/>
    <xf numFmtId="0" fontId="10" fillId="0" borderId="0" xfId="0" applyFont="1"/>
    <xf numFmtId="0" fontId="11" fillId="0" borderId="0" xfId="0" applyFont="1" applyFill="1" applyBorder="1" applyAlignment="1"/>
    <xf numFmtId="0" fontId="0" fillId="0" borderId="0" xfId="0" applyBorder="1" applyAlignment="1">
      <alignment wrapText="1"/>
    </xf>
    <xf numFmtId="0" fontId="16" fillId="0" borderId="0" xfId="0" applyFont="1" applyFill="1" applyBorder="1" applyAlignment="1"/>
    <xf numFmtId="0" fontId="17" fillId="0" borderId="0" xfId="0" applyFont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right"/>
    </xf>
    <xf numFmtId="0" fontId="17" fillId="0" borderId="0" xfId="0" applyFont="1" applyBorder="1" applyAlignment="1">
      <alignment horizontal="left"/>
    </xf>
    <xf numFmtId="164" fontId="20" fillId="5" borderId="0" xfId="0" applyNumberFormat="1" applyFont="1" applyFill="1" applyBorder="1"/>
    <xf numFmtId="0" fontId="0" fillId="0" borderId="0" xfId="0" applyAlignment="1">
      <alignment wrapText="1"/>
    </xf>
    <xf numFmtId="164" fontId="0" fillId="0" borderId="5" xfId="0" applyNumberFormat="1" applyBorder="1"/>
    <xf numFmtId="0" fontId="0" fillId="0" borderId="0" xfId="0" applyFill="1"/>
    <xf numFmtId="164" fontId="14" fillId="0" borderId="9" xfId="0" applyNumberFormat="1" applyFont="1" applyFill="1" applyBorder="1"/>
    <xf numFmtId="0" fontId="0" fillId="8" borderId="0" xfId="0" applyFill="1"/>
    <xf numFmtId="0" fontId="17" fillId="8" borderId="0" xfId="0" applyFont="1" applyFill="1" applyBorder="1" applyAlignment="1">
      <alignment horizontal="right"/>
    </xf>
    <xf numFmtId="0" fontId="17" fillId="8" borderId="0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left"/>
    </xf>
    <xf numFmtId="164" fontId="22" fillId="8" borderId="0" xfId="0" applyNumberFormat="1" applyFont="1" applyFill="1"/>
    <xf numFmtId="164" fontId="20" fillId="0" borderId="0" xfId="0" applyNumberFormat="1" applyFont="1" applyFill="1" applyBorder="1"/>
    <xf numFmtId="0" fontId="0" fillId="0" borderId="0" xfId="0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9" borderId="0" xfId="0" applyFont="1" applyFill="1" applyBorder="1" applyAlignment="1"/>
    <xf numFmtId="0" fontId="10" fillId="0" borderId="0" xfId="0" applyFont="1" applyAlignment="1">
      <alignment horizontal="right"/>
    </xf>
    <xf numFmtId="164" fontId="23" fillId="0" borderId="9" xfId="0" applyNumberFormat="1" applyFont="1" applyFill="1" applyBorder="1"/>
    <xf numFmtId="10" fontId="22" fillId="8" borderId="0" xfId="3" applyNumberFormat="1" applyFont="1" applyFill="1"/>
    <xf numFmtId="166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9" fontId="0" fillId="0" borderId="0" xfId="3" applyFont="1" applyAlignment="1">
      <alignment horizontal="left"/>
    </xf>
    <xf numFmtId="0" fontId="24" fillId="0" borderId="0" xfId="0" applyFont="1"/>
    <xf numFmtId="9" fontId="1" fillId="5" borderId="8" xfId="0" applyNumberFormat="1" applyFont="1" applyFill="1" applyBorder="1" applyAlignment="1">
      <alignment horizontal="center"/>
    </xf>
    <xf numFmtId="9" fontId="0" fillId="0" borderId="4" xfId="0" applyNumberFormat="1" applyFill="1" applyBorder="1" applyAlignment="1">
      <alignment horizontal="center"/>
    </xf>
    <xf numFmtId="0" fontId="0" fillId="6" borderId="0" xfId="0" applyFill="1" applyAlignment="1" applyProtection="1">
      <alignment horizontal="center"/>
      <protection locked="0"/>
    </xf>
    <xf numFmtId="1" fontId="0" fillId="6" borderId="0" xfId="0" applyNumberFormat="1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9" fontId="2" fillId="6" borderId="0" xfId="0" applyNumberFormat="1" applyFont="1" applyFill="1" applyAlignment="1" applyProtection="1">
      <alignment horizontal="center"/>
      <protection locked="0"/>
    </xf>
    <xf numFmtId="164" fontId="0" fillId="6" borderId="0" xfId="0" applyNumberFormat="1" applyFill="1" applyBorder="1" applyProtection="1">
      <protection locked="0"/>
    </xf>
    <xf numFmtId="9" fontId="0" fillId="6" borderId="0" xfId="0" applyNumberFormat="1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  <protection locked="0"/>
    </xf>
    <xf numFmtId="9" fontId="0" fillId="6" borderId="7" xfId="0" applyNumberFormat="1" applyFill="1" applyBorder="1" applyAlignment="1" applyProtection="1">
      <alignment horizontal="center"/>
      <protection locked="0"/>
    </xf>
    <xf numFmtId="0" fontId="25" fillId="0" borderId="0" xfId="0" applyFont="1"/>
    <xf numFmtId="0" fontId="21" fillId="5" borderId="11" xfId="0" applyFont="1" applyFill="1" applyBorder="1"/>
    <xf numFmtId="0" fontId="1" fillId="5" borderId="12" xfId="0" applyFont="1" applyFill="1" applyBorder="1" applyAlignment="1">
      <alignment horizontal="right"/>
    </xf>
    <xf numFmtId="0" fontId="21" fillId="5" borderId="4" xfId="0" applyFont="1" applyFill="1" applyBorder="1"/>
    <xf numFmtId="0" fontId="1" fillId="5" borderId="0" xfId="0" applyFont="1" applyFill="1" applyBorder="1" applyAlignment="1">
      <alignment horizontal="right"/>
    </xf>
    <xf numFmtId="1" fontId="0" fillId="0" borderId="5" xfId="0" applyNumberFormat="1" applyBorder="1" applyAlignment="1">
      <alignment horizontal="center"/>
    </xf>
    <xf numFmtId="9" fontId="0" fillId="0" borderId="5" xfId="3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0" fontId="21" fillId="5" borderId="6" xfId="0" applyFont="1" applyFill="1" applyBorder="1"/>
    <xf numFmtId="0" fontId="1" fillId="5" borderId="7" xfId="0" applyFont="1" applyFill="1" applyBorder="1" applyAlignment="1">
      <alignment horizontal="right"/>
    </xf>
    <xf numFmtId="9" fontId="0" fillId="6" borderId="10" xfId="0" applyNumberFormat="1" applyFill="1" applyBorder="1" applyAlignment="1" applyProtection="1">
      <alignment horizontal="center"/>
      <protection locked="0"/>
    </xf>
    <xf numFmtId="164" fontId="1" fillId="5" borderId="8" xfId="0" applyNumberFormat="1" applyFont="1" applyFill="1" applyBorder="1"/>
    <xf numFmtId="0" fontId="1" fillId="5" borderId="10" xfId="0" applyFont="1" applyFill="1" applyBorder="1" applyAlignment="1">
      <alignment horizontal="center"/>
    </xf>
    <xf numFmtId="10" fontId="1" fillId="5" borderId="8" xfId="3" applyNumberFormat="1" applyFont="1" applyFill="1" applyBorder="1" applyAlignment="1">
      <alignment horizontal="center"/>
    </xf>
    <xf numFmtId="0" fontId="0" fillId="7" borderId="0" xfId="0" applyFill="1"/>
    <xf numFmtId="0" fontId="2" fillId="7" borderId="0" xfId="0" applyFont="1" applyFill="1" applyAlignment="1">
      <alignment horizontal="right"/>
    </xf>
    <xf numFmtId="0" fontId="8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left" vertical="center" textRotation="90" wrapText="1"/>
    </xf>
    <xf numFmtId="9" fontId="1" fillId="0" borderId="0" xfId="0" applyNumberFormat="1" applyFont="1" applyFill="1" applyBorder="1" applyAlignment="1">
      <alignment horizontal="center"/>
    </xf>
    <xf numFmtId="3" fontId="2" fillId="7" borderId="0" xfId="0" applyNumberFormat="1" applyFont="1" applyFill="1" applyAlignment="1">
      <alignment horizontal="center"/>
    </xf>
    <xf numFmtId="0" fontId="2" fillId="10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164" fontId="2" fillId="4" borderId="0" xfId="0" applyNumberFormat="1" applyFont="1" applyFill="1"/>
    <xf numFmtId="0" fontId="2" fillId="11" borderId="0" xfId="0" applyFont="1" applyFill="1" applyAlignment="1">
      <alignment horizontal="right"/>
    </xf>
    <xf numFmtId="0" fontId="2" fillId="11" borderId="0" xfId="0" applyFont="1" applyFill="1"/>
    <xf numFmtId="1" fontId="2" fillId="11" borderId="0" xfId="0" applyNumberFormat="1" applyFont="1" applyFill="1" applyAlignment="1">
      <alignment horizontal="center"/>
    </xf>
    <xf numFmtId="166" fontId="2" fillId="10" borderId="0" xfId="0" applyNumberFormat="1" applyFont="1" applyFill="1" applyAlignment="1">
      <alignment horizontal="center"/>
    </xf>
    <xf numFmtId="0" fontId="2" fillId="10" borderId="0" xfId="0" applyFont="1" applyFill="1"/>
    <xf numFmtId="1" fontId="2" fillId="10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164" fontId="2" fillId="3" borderId="0" xfId="0" applyNumberFormat="1" applyFont="1" applyFill="1"/>
    <xf numFmtId="0" fontId="0" fillId="0" borderId="4" xfId="0" applyBorder="1" applyAlignment="1">
      <alignment horizontal="right" vertical="top"/>
    </xf>
    <xf numFmtId="164" fontId="0" fillId="0" borderId="0" xfId="0" applyNumberFormat="1" applyBorder="1" applyAlignment="1">
      <alignment vertical="top"/>
    </xf>
    <xf numFmtId="0" fontId="0" fillId="0" borderId="5" xfId="0" applyBorder="1" applyAlignment="1">
      <alignment horizontal="center" vertical="top"/>
    </xf>
    <xf numFmtId="0" fontId="17" fillId="12" borderId="0" xfId="0" applyFont="1" applyFill="1" applyBorder="1" applyAlignment="1">
      <alignment horizontal="right"/>
    </xf>
    <xf numFmtId="0" fontId="14" fillId="12" borderId="0" xfId="0" applyFont="1" applyFill="1" applyBorder="1" applyAlignment="1">
      <alignment horizontal="right"/>
    </xf>
    <xf numFmtId="0" fontId="14" fillId="12" borderId="0" xfId="0" applyFont="1" applyFill="1" applyBorder="1" applyAlignment="1">
      <alignment horizontal="left"/>
    </xf>
    <xf numFmtId="0" fontId="10" fillId="12" borderId="4" xfId="0" applyFont="1" applyFill="1" applyBorder="1"/>
    <xf numFmtId="0" fontId="0" fillId="12" borderId="0" xfId="0" applyFill="1" applyBorder="1"/>
    <xf numFmtId="0" fontId="0" fillId="12" borderId="5" xfId="0" applyFill="1" applyBorder="1"/>
    <xf numFmtId="0" fontId="0" fillId="12" borderId="4" xfId="0" applyFill="1" applyBorder="1"/>
    <xf numFmtId="3" fontId="15" fillId="12" borderId="0" xfId="0" applyNumberFormat="1" applyFont="1" applyFill="1" applyBorder="1" applyAlignment="1">
      <alignment horizontal="center"/>
    </xf>
    <xf numFmtId="0" fontId="0" fillId="12" borderId="6" xfId="0" applyFill="1" applyBorder="1"/>
    <xf numFmtId="0" fontId="0" fillId="12" borderId="7" xfId="0" applyFill="1" applyBorder="1"/>
    <xf numFmtId="0" fontId="14" fillId="12" borderId="7" xfId="0" applyFont="1" applyFill="1" applyBorder="1" applyAlignment="1">
      <alignment horizontal="right"/>
    </xf>
    <xf numFmtId="3" fontId="15" fillId="12" borderId="7" xfId="0" applyNumberFormat="1" applyFont="1" applyFill="1" applyBorder="1" applyAlignment="1">
      <alignment horizontal="center"/>
    </xf>
    <xf numFmtId="0" fontId="14" fillId="12" borderId="7" xfId="0" applyFont="1" applyFill="1" applyBorder="1" applyAlignment="1">
      <alignment horizontal="left"/>
    </xf>
    <xf numFmtId="0" fontId="0" fillId="12" borderId="8" xfId="0" applyFill="1" applyBorder="1"/>
    <xf numFmtId="164" fontId="11" fillId="12" borderId="0" xfId="0" applyNumberFormat="1" applyFont="1" applyFill="1" applyBorder="1"/>
    <xf numFmtId="3" fontId="11" fillId="12" borderId="0" xfId="0" applyNumberFormat="1" applyFont="1" applyFill="1" applyBorder="1" applyAlignment="1">
      <alignment horizontal="center"/>
    </xf>
    <xf numFmtId="0" fontId="16" fillId="0" borderId="0" xfId="0" applyFont="1"/>
    <xf numFmtId="0" fontId="26" fillId="0" borderId="0" xfId="0" applyFont="1" applyAlignment="1">
      <alignment vertical="center"/>
    </xf>
    <xf numFmtId="0" fontId="10" fillId="12" borderId="11" xfId="0" applyFont="1" applyFill="1" applyBorder="1" applyAlignment="1">
      <alignment horizontal="center"/>
    </xf>
    <xf numFmtId="0" fontId="10" fillId="12" borderId="12" xfId="0" applyFont="1" applyFill="1" applyBorder="1" applyAlignment="1">
      <alignment horizontal="center"/>
    </xf>
    <xf numFmtId="0" fontId="10" fillId="12" borderId="10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25" fillId="8" borderId="0" xfId="0" applyFont="1" applyFill="1" applyAlignment="1">
      <alignment horizontal="center"/>
    </xf>
    <xf numFmtId="0" fontId="13" fillId="9" borderId="0" xfId="0" applyFont="1" applyFill="1" applyBorder="1" applyAlignment="1">
      <alignment horizontal="center"/>
    </xf>
    <xf numFmtId="1" fontId="0" fillId="0" borderId="5" xfId="0" applyNumberFormat="1" applyBorder="1" applyAlignment="1">
      <alignment horizontal="left" vertical="center" textRotation="90" wrapText="1"/>
    </xf>
    <xf numFmtId="0" fontId="3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7.png"/><Relationship Id="rId3" Type="http://schemas.openxmlformats.org/officeDocument/2006/relationships/hyperlink" Target="https://www.winpartnersgroup.com/" TargetMode="External"/><Relationship Id="rId7" Type="http://schemas.openxmlformats.org/officeDocument/2006/relationships/hyperlink" Target="https://pravalegal.com/" TargetMode="External"/><Relationship Id="rId12" Type="http://schemas.openxmlformats.org/officeDocument/2006/relationships/hyperlink" Target="https://lexincorp.com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ranquiciashubs.com/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hyperlink" Target="https://www.bdseniorpartners.com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#'Multiplicando su Negocio'!A1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jpeg"/><Relationship Id="rId3" Type="http://schemas.openxmlformats.org/officeDocument/2006/relationships/image" Target="../media/image11.png"/><Relationship Id="rId7" Type="http://schemas.openxmlformats.org/officeDocument/2006/relationships/hyperlink" Target="#Inicio!A1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6" Type="http://schemas.openxmlformats.org/officeDocument/2006/relationships/image" Target="../media/image5.png"/><Relationship Id="rId5" Type="http://schemas.openxmlformats.org/officeDocument/2006/relationships/hyperlink" Target="#'Presupuesto Anual Franquicias'!A1"/><Relationship Id="rId4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ultiplicando su Negocio'!A1"/><Relationship Id="rId2" Type="http://schemas.openxmlformats.org/officeDocument/2006/relationships/image" Target="../media/image14.png"/><Relationship Id="rId1" Type="http://schemas.openxmlformats.org/officeDocument/2006/relationships/hyperlink" Target="#'Viabilidad para Franquiciar'!A1"/><Relationship Id="rId4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hyperlink" Target="#'Presupuesto Anual Franquici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0</xdr:row>
      <xdr:rowOff>121920</xdr:rowOff>
    </xdr:from>
    <xdr:to>
      <xdr:col>4</xdr:col>
      <xdr:colOff>568960</xdr:colOff>
      <xdr:row>9</xdr:row>
      <xdr:rowOff>43815</xdr:rowOff>
    </xdr:to>
    <xdr:pic>
      <xdr:nvPicPr>
        <xdr:cNvPr id="2" name="Imagen 1">
          <a:hlinkClick xmlns:r="http://schemas.openxmlformats.org/officeDocument/2006/relationships" r:id="rId1" tooltip="Dirección General de Franquicias"/>
          <a:extLst>
            <a:ext uri="{FF2B5EF4-FFF2-40B4-BE49-F238E27FC236}">
              <a16:creationId xmlns:a16="http://schemas.microsoft.com/office/drawing/2014/main" id="{FBEE3189-7045-4D93-8912-3A694A8B74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363"/>
        <a:stretch/>
      </xdr:blipFill>
      <xdr:spPr>
        <a:xfrm>
          <a:off x="716280" y="121920"/>
          <a:ext cx="2969260" cy="1546860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23</xdr:row>
      <xdr:rowOff>167640</xdr:rowOff>
    </xdr:from>
    <xdr:to>
      <xdr:col>3</xdr:col>
      <xdr:colOff>990755</xdr:colOff>
      <xdr:row>29</xdr:row>
      <xdr:rowOff>76200</xdr:rowOff>
    </xdr:to>
    <xdr:pic>
      <xdr:nvPicPr>
        <xdr:cNvPr id="3" name="Imagen 2">
          <a:hlinkClick xmlns:r="http://schemas.openxmlformats.org/officeDocument/2006/relationships" r:id="rId3" tooltip="Dirección Ejecutiva de Franquicias"/>
          <a:extLst>
            <a:ext uri="{FF2B5EF4-FFF2-40B4-BE49-F238E27FC236}">
              <a16:creationId xmlns:a16="http://schemas.microsoft.com/office/drawing/2014/main" id="{D60081F2-8BC3-4D9B-BB92-438C2D41CE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778"/>
        <a:stretch/>
      </xdr:blipFill>
      <xdr:spPr>
        <a:xfrm>
          <a:off x="365760" y="4373880"/>
          <a:ext cx="2571905" cy="990600"/>
        </a:xfrm>
        <a:prstGeom prst="rect">
          <a:avLst/>
        </a:prstGeom>
      </xdr:spPr>
    </xdr:pic>
    <xdr:clientData/>
  </xdr:twoCellAnchor>
  <xdr:twoCellAnchor editAs="oneCell">
    <xdr:from>
      <xdr:col>4</xdr:col>
      <xdr:colOff>403860</xdr:colOff>
      <xdr:row>24</xdr:row>
      <xdr:rowOff>0</xdr:rowOff>
    </xdr:from>
    <xdr:to>
      <xdr:col>8</xdr:col>
      <xdr:colOff>310515</xdr:colOff>
      <xdr:row>28</xdr:row>
      <xdr:rowOff>133350</xdr:rowOff>
    </xdr:to>
    <xdr:pic>
      <xdr:nvPicPr>
        <xdr:cNvPr id="4" name="Imagen 3">
          <a:hlinkClick xmlns:r="http://schemas.openxmlformats.org/officeDocument/2006/relationships" r:id="rId5" tooltip="Dirección Jurídica Franquicias para USA"/>
          <a:extLst>
            <a:ext uri="{FF2B5EF4-FFF2-40B4-BE49-F238E27FC236}">
              <a16:creationId xmlns:a16="http://schemas.microsoft.com/office/drawing/2014/main" id="{292BEEC5-F1CF-43BA-8CFC-AB1B3AD0F4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4" b="16543"/>
        <a:stretch/>
      </xdr:blipFill>
      <xdr:spPr>
        <a:xfrm>
          <a:off x="3528060" y="4389120"/>
          <a:ext cx="3070860" cy="861060"/>
        </a:xfrm>
        <a:prstGeom prst="rect">
          <a:avLst/>
        </a:prstGeom>
      </xdr:spPr>
    </xdr:pic>
    <xdr:clientData/>
  </xdr:twoCellAnchor>
  <xdr:twoCellAnchor editAs="oneCell">
    <xdr:from>
      <xdr:col>10</xdr:col>
      <xdr:colOff>182880</xdr:colOff>
      <xdr:row>24</xdr:row>
      <xdr:rowOff>170590</xdr:rowOff>
    </xdr:from>
    <xdr:to>
      <xdr:col>12</xdr:col>
      <xdr:colOff>422719</xdr:colOff>
      <xdr:row>29</xdr:row>
      <xdr:rowOff>7697</xdr:rowOff>
    </xdr:to>
    <xdr:pic>
      <xdr:nvPicPr>
        <xdr:cNvPr id="5" name="Imagen 4">
          <a:hlinkClick xmlns:r="http://schemas.openxmlformats.org/officeDocument/2006/relationships" r:id="rId7" tooltip="Dirección Jurídica Franquicias para Centroamérica"/>
          <a:extLst>
            <a:ext uri="{FF2B5EF4-FFF2-40B4-BE49-F238E27FC236}">
              <a16:creationId xmlns:a16="http://schemas.microsoft.com/office/drawing/2014/main" id="{C20E8994-265E-4F85-8AE8-1AE04A278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4320" y="4559710"/>
          <a:ext cx="1822894" cy="736267"/>
        </a:xfrm>
        <a:prstGeom prst="rect">
          <a:avLst/>
        </a:prstGeom>
      </xdr:spPr>
    </xdr:pic>
    <xdr:clientData/>
  </xdr:twoCellAnchor>
  <xdr:twoCellAnchor>
    <xdr:from>
      <xdr:col>6</xdr:col>
      <xdr:colOff>106680</xdr:colOff>
      <xdr:row>1</xdr:row>
      <xdr:rowOff>160020</xdr:rowOff>
    </xdr:from>
    <xdr:to>
      <xdr:col>14</xdr:col>
      <xdr:colOff>99060</xdr:colOff>
      <xdr:row>14</xdr:row>
      <xdr:rowOff>30480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0F03E53-F444-49AE-A8E3-99C3C52FFB5C}"/>
            </a:ext>
          </a:extLst>
        </xdr:cNvPr>
        <xdr:cNvSpPr txBox="1"/>
      </xdr:nvSpPr>
      <xdr:spPr>
        <a:xfrm>
          <a:off x="4815840" y="342900"/>
          <a:ext cx="6393180" cy="2247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Hacemos que sus Unidades de Negocios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sean más rentables y se multipliquen</a:t>
          </a:r>
          <a:r>
            <a:rPr lang="es-NI" sz="3200"/>
            <a:t> </a:t>
          </a:r>
          <a:r>
            <a:rPr lang="es-NI" sz="3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hasta formar una cadena de 15 puntos de ventas</a:t>
          </a:r>
          <a:r>
            <a:rPr lang="es-NI" sz="3200"/>
            <a:t> </a:t>
          </a:r>
        </a:p>
      </xdr:txBody>
    </xdr:sp>
    <xdr:clientData/>
  </xdr:twoCellAnchor>
  <xdr:twoCellAnchor>
    <xdr:from>
      <xdr:col>1</xdr:col>
      <xdr:colOff>594360</xdr:colOff>
      <xdr:row>17</xdr:row>
      <xdr:rowOff>22860</xdr:rowOff>
    </xdr:from>
    <xdr:to>
      <xdr:col>15</xdr:col>
      <xdr:colOff>502920</xdr:colOff>
      <xdr:row>19</xdr:row>
      <xdr:rowOff>83820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B46285ED-5871-48FB-87B4-21764094FB95}"/>
            </a:ext>
          </a:extLst>
        </xdr:cNvPr>
        <xdr:cNvSpPr txBox="1"/>
      </xdr:nvSpPr>
      <xdr:spPr>
        <a:xfrm>
          <a:off x="960120" y="3131820"/>
          <a:ext cx="11445240" cy="42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24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RADIOGRAFIA DE FRANQUICIABILIDAD PARA NEGOCIOS DE RESTAURANTES</a:t>
          </a:r>
          <a:endParaRPr lang="es-NI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16</xdr:col>
      <xdr:colOff>45721</xdr:colOff>
      <xdr:row>13</xdr:row>
      <xdr:rowOff>99060</xdr:rowOff>
    </xdr:from>
    <xdr:to>
      <xdr:col>16</xdr:col>
      <xdr:colOff>496295</xdr:colOff>
      <xdr:row>15</xdr:row>
      <xdr:rowOff>177605</xdr:rowOff>
    </xdr:to>
    <xdr:pic>
      <xdr:nvPicPr>
        <xdr:cNvPr id="8" name="Imagen 7">
          <a:hlinkClick xmlns:r="http://schemas.openxmlformats.org/officeDocument/2006/relationships" r:id="rId9" tooltip="Conozca cuál debe ser la dinámica de su negocio franquiciado"/>
          <a:extLst>
            <a:ext uri="{FF2B5EF4-FFF2-40B4-BE49-F238E27FC236}">
              <a16:creationId xmlns:a16="http://schemas.microsoft.com/office/drawing/2014/main" id="{2D8F938E-7ADE-439E-940A-E1385F192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0641" y="2476500"/>
          <a:ext cx="450574" cy="44430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</xdr:row>
      <xdr:rowOff>110784</xdr:rowOff>
    </xdr:from>
    <xdr:to>
      <xdr:col>16</xdr:col>
      <xdr:colOff>88147</xdr:colOff>
      <xdr:row>16</xdr:row>
      <xdr:rowOff>93200</xdr:rowOff>
    </xdr:to>
    <xdr:sp macro="" textlink="">
      <xdr:nvSpPr>
        <xdr:cNvPr id="9" name="CuadroTexto 8">
          <a:hlinkClick xmlns:r="http://schemas.openxmlformats.org/officeDocument/2006/relationships" r:id="rId9" tooltip="Conozca cuál debe ser la dinámica de su negocio franquiciado"/>
          <a:extLst>
            <a:ext uri="{FF2B5EF4-FFF2-40B4-BE49-F238E27FC236}">
              <a16:creationId xmlns:a16="http://schemas.microsoft.com/office/drawing/2014/main" id="{6B3900B9-6446-4FFF-88DB-14808A9F9EE2}"/>
            </a:ext>
          </a:extLst>
        </xdr:cNvPr>
        <xdr:cNvSpPr txBox="1"/>
      </xdr:nvSpPr>
      <xdr:spPr>
        <a:xfrm>
          <a:off x="11902440" y="2488224"/>
          <a:ext cx="880627" cy="531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 página</a:t>
          </a:r>
        </a:p>
      </xdr:txBody>
    </xdr:sp>
    <xdr:clientData/>
  </xdr:twoCellAnchor>
  <xdr:twoCellAnchor editAs="oneCell">
    <xdr:from>
      <xdr:col>1</xdr:col>
      <xdr:colOff>525780</xdr:colOff>
      <xdr:row>9</xdr:row>
      <xdr:rowOff>53340</xdr:rowOff>
    </xdr:from>
    <xdr:to>
      <xdr:col>2</xdr:col>
      <xdr:colOff>666750</xdr:colOff>
      <xdr:row>11</xdr:row>
      <xdr:rowOff>161342</xdr:rowOff>
    </xdr:to>
    <xdr:pic>
      <xdr:nvPicPr>
        <xdr:cNvPr id="10" name="Imagen 9" descr="Vector Transparente PNG Y SVG De Trazo De Icono De Sitio Web Ww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C68D49-6963-4F1F-B55B-0236A13732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891540" y="169926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624840</xdr:colOff>
      <xdr:row>29</xdr:row>
      <xdr:rowOff>45720</xdr:rowOff>
    </xdr:from>
    <xdr:to>
      <xdr:col>2</xdr:col>
      <xdr:colOff>144780</xdr:colOff>
      <xdr:row>31</xdr:row>
      <xdr:rowOff>149912</xdr:rowOff>
    </xdr:to>
    <xdr:pic>
      <xdr:nvPicPr>
        <xdr:cNvPr id="11" name="Imagen 10" descr="Vector Transparente PNG Y SVG De Trazo De Icono De Sitio Web Www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409CEA5-785B-461B-9548-3B0E536F4D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36576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617220</xdr:colOff>
      <xdr:row>29</xdr:row>
      <xdr:rowOff>45720</xdr:rowOff>
    </xdr:from>
    <xdr:to>
      <xdr:col>5</xdr:col>
      <xdr:colOff>767715</xdr:colOff>
      <xdr:row>31</xdr:row>
      <xdr:rowOff>149912</xdr:rowOff>
    </xdr:to>
    <xdr:pic>
      <xdr:nvPicPr>
        <xdr:cNvPr id="12" name="Imagen 11" descr="Vector Transparente PNG Y SVG De Trazo De Icono De Sitio Web Www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2E3A92-3700-4BB1-A3F2-97E09EFA55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374142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617220</xdr:colOff>
      <xdr:row>29</xdr:row>
      <xdr:rowOff>45720</xdr:rowOff>
    </xdr:from>
    <xdr:to>
      <xdr:col>10</xdr:col>
      <xdr:colOff>767715</xdr:colOff>
      <xdr:row>31</xdr:row>
      <xdr:rowOff>149912</xdr:rowOff>
    </xdr:to>
    <xdr:pic>
      <xdr:nvPicPr>
        <xdr:cNvPr id="13" name="Imagen 12" descr="Vector Transparente PNG Y SVG De Trazo De Icono De Sitio Web Www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B350876-B602-4DC0-8D8F-157706DE20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7536180" y="534924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480060</xdr:colOff>
      <xdr:row>19</xdr:row>
      <xdr:rowOff>0</xdr:rowOff>
    </xdr:from>
    <xdr:to>
      <xdr:col>17</xdr:col>
      <xdr:colOff>243840</xdr:colOff>
      <xdr:row>22</xdr:row>
      <xdr:rowOff>152400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FDBF83A-DA37-4B8B-ADA6-6DE2AAE387AB}"/>
            </a:ext>
          </a:extLst>
        </xdr:cNvPr>
        <xdr:cNvSpPr txBox="1"/>
      </xdr:nvSpPr>
      <xdr:spPr>
        <a:xfrm>
          <a:off x="365760" y="3474720"/>
          <a:ext cx="13365480" cy="701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800" b="1" i="0" u="none" strike="noStrike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Cada hoja es un ejemplo del resultado de un restaurante </a:t>
          </a:r>
          <a:r>
            <a:rPr lang="es-NI" sz="1800" b="1" i="0" u="none" strike="noStrike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franquiciable. Sustituye por favor cada espacio en amarillo con los datos reales de tu negocio para que apliques correctamente tu Radiografía de Franquiciabilidad. Tiempo estimado: 20 minutos.</a:t>
          </a:r>
          <a:endParaRPr lang="es-NI" sz="1800" b="1">
            <a:solidFill>
              <a:srgbClr val="7030A0"/>
            </a:solidFill>
          </a:endParaRPr>
        </a:p>
      </xdr:txBody>
    </xdr:sp>
    <xdr:clientData/>
  </xdr:twoCellAnchor>
  <xdr:twoCellAnchor>
    <xdr:from>
      <xdr:col>1</xdr:col>
      <xdr:colOff>182880</xdr:colOff>
      <xdr:row>11</xdr:row>
      <xdr:rowOff>129540</xdr:rowOff>
    </xdr:from>
    <xdr:to>
      <xdr:col>4</xdr:col>
      <xdr:colOff>662940</xdr:colOff>
      <xdr:row>14</xdr:row>
      <xdr:rowOff>60960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2513E447-8B88-4F6F-B528-AE0B9CE34E93}"/>
            </a:ext>
          </a:extLst>
        </xdr:cNvPr>
        <xdr:cNvSpPr txBox="1"/>
      </xdr:nvSpPr>
      <xdr:spPr>
        <a:xfrm>
          <a:off x="548640" y="2141220"/>
          <a:ext cx="32385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México y Florida, USA: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Agencia Coach Franquiciantes y Franquiciados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13</xdr:col>
      <xdr:colOff>617220</xdr:colOff>
      <xdr:row>29</xdr:row>
      <xdr:rowOff>38100</xdr:rowOff>
    </xdr:from>
    <xdr:to>
      <xdr:col>14</xdr:col>
      <xdr:colOff>767715</xdr:colOff>
      <xdr:row>31</xdr:row>
      <xdr:rowOff>136577</xdr:rowOff>
    </xdr:to>
    <xdr:pic>
      <xdr:nvPicPr>
        <xdr:cNvPr id="17" name="Imagen 16" descr="Vector Transparente PNG Y SVG De Trazo De Icono De Sitio Web Www">
          <a:hlinkClick xmlns:r="http://schemas.openxmlformats.org/officeDocument/2006/relationships" r:id="rId12" tooltip="https://lexincorp.com/"/>
          <a:extLst>
            <a:ext uri="{FF2B5EF4-FFF2-40B4-BE49-F238E27FC236}">
              <a16:creationId xmlns:a16="http://schemas.microsoft.com/office/drawing/2014/main" id="{F918EA8E-98B0-423E-8EAE-CDAC08E7F8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51" b="24218"/>
        <a:stretch/>
      </xdr:blipFill>
      <xdr:spPr bwMode="auto">
        <a:xfrm>
          <a:off x="10934700" y="5341620"/>
          <a:ext cx="937260" cy="46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701040</xdr:colOff>
      <xdr:row>25</xdr:row>
      <xdr:rowOff>45720</xdr:rowOff>
    </xdr:from>
    <xdr:to>
      <xdr:col>16</xdr:col>
      <xdr:colOff>578147</xdr:colOff>
      <xdr:row>28</xdr:row>
      <xdr:rowOff>72956</xdr:rowOff>
    </xdr:to>
    <xdr:pic>
      <xdr:nvPicPr>
        <xdr:cNvPr id="18" name="Imagen 17">
          <a:hlinkClick xmlns:r="http://schemas.openxmlformats.org/officeDocument/2006/relationships" r:id="rId12" tooltip="Crea Contratos de Franquicias"/>
          <a:extLst>
            <a:ext uri="{FF2B5EF4-FFF2-40B4-BE49-F238E27FC236}">
              <a16:creationId xmlns:a16="http://schemas.microsoft.com/office/drawing/2014/main" id="{5F6401D4-CE17-41B4-A7F7-795858B05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8520" y="4617720"/>
          <a:ext cx="2243117" cy="568256"/>
        </a:xfrm>
        <a:prstGeom prst="rect">
          <a:avLst/>
        </a:prstGeom>
      </xdr:spPr>
    </xdr:pic>
    <xdr:clientData/>
  </xdr:twoCellAnchor>
  <xdr:twoCellAnchor>
    <xdr:from>
      <xdr:col>0</xdr:col>
      <xdr:colOff>320040</xdr:colOff>
      <xdr:row>31</xdr:row>
      <xdr:rowOff>167640</xdr:rowOff>
    </xdr:from>
    <xdr:to>
      <xdr:col>4</xdr:col>
      <xdr:colOff>121920</xdr:colOff>
      <xdr:row>34</xdr:row>
      <xdr:rowOff>99060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E1EBD64F-EFB1-4D32-A873-498FCB1EE60D}"/>
            </a:ext>
          </a:extLst>
        </xdr:cNvPr>
        <xdr:cNvSpPr txBox="1"/>
      </xdr:nvSpPr>
      <xdr:spPr>
        <a:xfrm>
          <a:off x="320040" y="5836920"/>
          <a:ext cx="292608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Latinoamérica: Firma experta en Negocios. 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Crea Franquiciantes y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4</xdr:col>
      <xdr:colOff>335280</xdr:colOff>
      <xdr:row>31</xdr:row>
      <xdr:rowOff>167640</xdr:rowOff>
    </xdr:from>
    <xdr:to>
      <xdr:col>8</xdr:col>
      <xdr:colOff>449580</xdr:colOff>
      <xdr:row>34</xdr:row>
      <xdr:rowOff>99060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7535FB35-C1DD-4CA1-9040-4ED8373D47CA}"/>
            </a:ext>
          </a:extLst>
        </xdr:cNvPr>
        <xdr:cNvSpPr txBox="1"/>
      </xdr:nvSpPr>
      <xdr:spPr>
        <a:xfrm>
          <a:off x="345948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Estados Unidos, California, Orange: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Firma que dinamiza Inversiones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30480</xdr:colOff>
      <xdr:row>31</xdr:row>
      <xdr:rowOff>167640</xdr:rowOff>
    </xdr:from>
    <xdr:to>
      <xdr:col>13</xdr:col>
      <xdr:colOff>289560</xdr:colOff>
      <xdr:row>34</xdr:row>
      <xdr:rowOff>99060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346C2893-1CB6-4BB4-B325-6DCDF41BDF5A}"/>
            </a:ext>
          </a:extLst>
        </xdr:cNvPr>
        <xdr:cNvSpPr txBox="1"/>
      </xdr:nvSpPr>
      <xdr:spPr>
        <a:xfrm>
          <a:off x="6949440" y="5836920"/>
          <a:ext cx="36576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Costa Rica, Centroamérica y México: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Coaching Jurídico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13</xdr:col>
      <xdr:colOff>205740</xdr:colOff>
      <xdr:row>31</xdr:row>
      <xdr:rowOff>167640</xdr:rowOff>
    </xdr:from>
    <xdr:to>
      <xdr:col>17</xdr:col>
      <xdr:colOff>320040</xdr:colOff>
      <xdr:row>34</xdr:row>
      <xdr:rowOff>99060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AC66DBE3-E314-474A-B253-669F4AB84B86}"/>
            </a:ext>
          </a:extLst>
        </xdr:cNvPr>
        <xdr:cNvSpPr txBox="1"/>
      </xdr:nvSpPr>
      <xdr:spPr>
        <a:xfrm>
          <a:off x="10523220" y="5836920"/>
          <a:ext cx="32842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NI" sz="1200" b="1" baseline="0">
              <a:solidFill>
                <a:srgbClr val="0070C0"/>
              </a:solidFill>
            </a:rPr>
            <a:t>Centroamérica y México: Contratos Franquicias</a:t>
          </a:r>
        </a:p>
        <a:p>
          <a:pPr algn="ctr"/>
          <a:r>
            <a:rPr lang="es-NI" sz="1200" b="1" baseline="0">
              <a:solidFill>
                <a:srgbClr val="0070C0"/>
              </a:solidFill>
            </a:rPr>
            <a:t>Norma relaciones contractuales de Franquicias</a:t>
          </a:r>
          <a:endParaRPr lang="es-NI" sz="1200" b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14</xdr:col>
      <xdr:colOff>243840</xdr:colOff>
      <xdr:row>1</xdr:row>
      <xdr:rowOff>106680</xdr:rowOff>
    </xdr:from>
    <xdr:to>
      <xdr:col>17</xdr:col>
      <xdr:colOff>522600</xdr:colOff>
      <xdr:row>12</xdr:row>
      <xdr:rowOff>147000</xdr:rowOff>
    </xdr:to>
    <xdr:pic>
      <xdr:nvPicPr>
        <xdr:cNvPr id="23" name="Imagen 22" descr="Pratos Talheres Restaurante - Gráfico vetorial grátis no Pixabay">
          <a:extLst>
            <a:ext uri="{FF2B5EF4-FFF2-40B4-BE49-F238E27FC236}">
              <a16:creationId xmlns:a16="http://schemas.microsoft.com/office/drawing/2014/main" id="{0F440A0C-666F-4DA8-9076-1447676B6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289560"/>
          <a:ext cx="2656200" cy="20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944880</xdr:colOff>
      <xdr:row>21</xdr:row>
      <xdr:rowOff>121920</xdr:rowOff>
    </xdr:from>
    <xdr:to>
      <xdr:col>6</xdr:col>
      <xdr:colOff>704850</xdr:colOff>
      <xdr:row>29</xdr:row>
      <xdr:rowOff>104775</xdr:rowOff>
    </xdr:to>
    <xdr:pic>
      <xdr:nvPicPr>
        <xdr:cNvPr id="7" name="Imagen 6" descr="Monochrome Kontur Burger Mit Französisch Frites Und Soda Vektor-Abbildung  Lizenzfrei Nutzbare SVG, Vektorgrafiken, Clip Arts, Illustrationen. Image  74037701.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140" y="4823460"/>
          <a:ext cx="1760220" cy="1760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12</xdr:row>
      <xdr:rowOff>22860</xdr:rowOff>
    </xdr:from>
    <xdr:to>
      <xdr:col>7</xdr:col>
      <xdr:colOff>77819</xdr:colOff>
      <xdr:row>20</xdr:row>
      <xdr:rowOff>145808</xdr:rowOff>
    </xdr:to>
    <xdr:pic>
      <xdr:nvPicPr>
        <xdr:cNvPr id="3" name="Imagen 2" descr="Mesa Restaurante | 3D Warehous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99BD91"/>
            </a:clrFrom>
            <a:clrTo>
              <a:srgbClr val="99BD91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2468880"/>
          <a:ext cx="3270599" cy="1839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22</xdr:row>
      <xdr:rowOff>68580</xdr:rowOff>
    </xdr:from>
    <xdr:to>
      <xdr:col>5</xdr:col>
      <xdr:colOff>1314450</xdr:colOff>
      <xdr:row>29</xdr:row>
      <xdr:rowOff>95250</xdr:rowOff>
    </xdr:to>
    <xdr:pic>
      <xdr:nvPicPr>
        <xdr:cNvPr id="4" name="Imagen 3" descr="Íconos de hora en SVG, PNG, AI para descargar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5029200"/>
          <a:ext cx="1531620" cy="153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868680</xdr:colOff>
      <xdr:row>22</xdr:row>
      <xdr:rowOff>0</xdr:rowOff>
    </xdr:from>
    <xdr:to>
      <xdr:col>5</xdr:col>
      <xdr:colOff>1924050</xdr:colOff>
      <xdr:row>26</xdr:row>
      <xdr:rowOff>142875</xdr:rowOff>
    </xdr:to>
    <xdr:pic>
      <xdr:nvPicPr>
        <xdr:cNvPr id="5" name="Imagen 4" descr="Taco - Iconos gratis de comida y restaurant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6940" y="4960620"/>
          <a:ext cx="1059180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782383</xdr:colOff>
      <xdr:row>16</xdr:row>
      <xdr:rowOff>81915</xdr:rowOff>
    </xdr:from>
    <xdr:to>
      <xdr:col>14</xdr:col>
      <xdr:colOff>439145</xdr:colOff>
      <xdr:row>18</xdr:row>
      <xdr:rowOff>64165</xdr:rowOff>
    </xdr:to>
    <xdr:pic>
      <xdr:nvPicPr>
        <xdr:cNvPr id="9" name="Imagen 8">
          <a:hlinkClick xmlns:r="http://schemas.openxmlformats.org/officeDocument/2006/relationships" r:id="rId5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0203" y="3488055"/>
          <a:ext cx="449242" cy="431830"/>
        </a:xfrm>
        <a:prstGeom prst="rect">
          <a:avLst/>
        </a:prstGeom>
      </xdr:spPr>
    </xdr:pic>
    <xdr:clientData/>
  </xdr:twoCellAnchor>
  <xdr:twoCellAnchor>
    <xdr:from>
      <xdr:col>12</xdr:col>
      <xdr:colOff>739140</xdr:colOff>
      <xdr:row>16</xdr:row>
      <xdr:rowOff>93311</xdr:rowOff>
    </xdr:from>
    <xdr:to>
      <xdr:col>14</xdr:col>
      <xdr:colOff>32204</xdr:colOff>
      <xdr:row>18</xdr:row>
      <xdr:rowOff>91440</xdr:rowOff>
    </xdr:to>
    <xdr:sp macro="" textlink="">
      <xdr:nvSpPr>
        <xdr:cNvPr id="10" name="CuadroTexto 9">
          <a:hlinkClick xmlns:r="http://schemas.openxmlformats.org/officeDocument/2006/relationships" r:id="rId5" tooltip="Conozca un posible presupuesto si franquicia su negocio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2984480" y="3499451"/>
          <a:ext cx="878024" cy="4477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 Sigueinte</a:t>
          </a:r>
        </a:p>
      </xdr:txBody>
    </xdr:sp>
    <xdr:clientData/>
  </xdr:twoCellAnchor>
  <xdr:twoCellAnchor>
    <xdr:from>
      <xdr:col>12</xdr:col>
      <xdr:colOff>739140</xdr:colOff>
      <xdr:row>18</xdr:row>
      <xdr:rowOff>64770</xdr:rowOff>
    </xdr:from>
    <xdr:to>
      <xdr:col>14</xdr:col>
      <xdr:colOff>439145</xdr:colOff>
      <xdr:row>20</xdr:row>
      <xdr:rowOff>175115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2984480" y="3920490"/>
          <a:ext cx="1284965" cy="559925"/>
          <a:chOff x="12832080" y="640080"/>
          <a:chExt cx="1288775" cy="542780"/>
        </a:xfrm>
      </xdr:grpSpPr>
      <xdr:pic>
        <xdr:nvPicPr>
          <xdr:cNvPr id="12" name="Imagen 11">
            <a:hlinkClick xmlns:r="http://schemas.openxmlformats.org/officeDocument/2006/relationships" r:id="rId7" tooltip="Regrese al Inicio"/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0800000">
            <a:off x="13670281" y="640080"/>
            <a:ext cx="450574" cy="444305"/>
          </a:xfrm>
          <a:prstGeom prst="rect">
            <a:avLst/>
          </a:prstGeom>
        </xdr:spPr>
      </xdr:pic>
      <xdr:sp macro="" textlink="">
        <xdr:nvSpPr>
          <xdr:cNvPr id="13" name="CuadroTexto 12">
            <a:hlinkClick xmlns:r="http://schemas.openxmlformats.org/officeDocument/2006/relationships" r:id="rId7" tooltip="Regrese al Inicio"/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12832080" y="651804"/>
            <a:ext cx="880627" cy="5310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s-NI" sz="1050" b="1">
                <a:solidFill>
                  <a:schemeClr val="accent4">
                    <a:lumMod val="75000"/>
                  </a:schemeClr>
                </a:solidFill>
              </a:rPr>
              <a:t>Página</a:t>
            </a:r>
          </a:p>
          <a:p>
            <a:pPr algn="r"/>
            <a:r>
              <a:rPr lang="es-NI" sz="1050" b="1">
                <a:solidFill>
                  <a:schemeClr val="accent4">
                    <a:lumMod val="75000"/>
                  </a:schemeClr>
                </a:solidFill>
              </a:rPr>
              <a:t>Anterior</a:t>
            </a:r>
          </a:p>
        </xdr:txBody>
      </xdr:sp>
    </xdr:grpSp>
    <xdr:clientData/>
  </xdr:twoCellAnchor>
  <xdr:twoCellAnchor editAs="oneCell">
    <xdr:from>
      <xdr:col>5</xdr:col>
      <xdr:colOff>678181</xdr:colOff>
      <xdr:row>2</xdr:row>
      <xdr:rowOff>259080</xdr:rowOff>
    </xdr:from>
    <xdr:to>
      <xdr:col>6</xdr:col>
      <xdr:colOff>706786</xdr:colOff>
      <xdr:row>11</xdr:row>
      <xdr:rowOff>249330</xdr:rowOff>
    </xdr:to>
    <xdr:pic>
      <xdr:nvPicPr>
        <xdr:cNvPr id="15" name="Imagen 14" descr="Icono de pago de factura de recibo de transacción en papel | Vector Premium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8FCDFE"/>
            </a:clrFrom>
            <a:clrTo>
              <a:srgbClr val="8FCD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441" y="769620"/>
          <a:ext cx="2028855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312420</xdr:colOff>
      <xdr:row>3</xdr:row>
      <xdr:rowOff>236220</xdr:rowOff>
    </xdr:from>
    <xdr:to>
      <xdr:col>5</xdr:col>
      <xdr:colOff>1135380</xdr:colOff>
      <xdr:row>11</xdr:row>
      <xdr:rowOff>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998720" y="1013460"/>
          <a:ext cx="1264920" cy="13106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dividir el valor total de las ventas entre el número de pedidos.</a:t>
          </a:r>
          <a:endParaRPr lang="es-NI" sz="1100"/>
        </a:p>
      </xdr:txBody>
    </xdr:sp>
    <xdr:clientData/>
  </xdr:twoCellAnchor>
  <xdr:twoCellAnchor>
    <xdr:from>
      <xdr:col>0</xdr:col>
      <xdr:colOff>428625</xdr:colOff>
      <xdr:row>5</xdr:row>
      <xdr:rowOff>142875</xdr:rowOff>
    </xdr:from>
    <xdr:to>
      <xdr:col>2</xdr:col>
      <xdr:colOff>723900</xdr:colOff>
      <xdr:row>10</xdr:row>
      <xdr:rowOff>66675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428625" y="1362075"/>
          <a:ext cx="2286000" cy="828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mide la cantidad de pedidos pagados en 1 factura, por ende, debe ser mayor que el ticket promedio por persona.</a:t>
          </a:r>
          <a:endParaRPr lang="es-NI" sz="1100"/>
        </a:p>
      </xdr:txBody>
    </xdr:sp>
    <xdr:clientData/>
  </xdr:twoCellAnchor>
  <xdr:twoCellAnchor>
    <xdr:from>
      <xdr:col>11</xdr:col>
      <xdr:colOff>121920</xdr:colOff>
      <xdr:row>10</xdr:row>
      <xdr:rowOff>114300</xdr:rowOff>
    </xdr:from>
    <xdr:to>
      <xdr:col>13</xdr:col>
      <xdr:colOff>685800</xdr:colOff>
      <xdr:row>14</xdr:row>
      <xdr:rowOff>38100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574780" y="2255520"/>
          <a:ext cx="2148840" cy="8229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 </a:t>
          </a:r>
          <a:r>
            <a:rPr lang="es-N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ticket promedio por Persona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es el resultado de identificar cuánto puede un cliente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N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comprar fijo de tu negocio, al visitarlo</a:t>
          </a:r>
          <a:r>
            <a:rPr lang="es-N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NI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2667000</xdr:colOff>
      <xdr:row>15</xdr:row>
      <xdr:rowOff>91440</xdr:rowOff>
    </xdr:from>
    <xdr:to>
      <xdr:col>5</xdr:col>
      <xdr:colOff>3063240</xdr:colOff>
      <xdr:row>15</xdr:row>
      <xdr:rowOff>91440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6446520" y="32385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2674620</xdr:colOff>
      <xdr:row>16</xdr:row>
      <xdr:rowOff>99060</xdr:rowOff>
    </xdr:from>
    <xdr:to>
      <xdr:col>5</xdr:col>
      <xdr:colOff>3070860</xdr:colOff>
      <xdr:row>16</xdr:row>
      <xdr:rowOff>99060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6454140" y="34290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2887980</xdr:colOff>
      <xdr:row>17</xdr:row>
      <xdr:rowOff>114300</xdr:rowOff>
    </xdr:from>
    <xdr:to>
      <xdr:col>6</xdr:col>
      <xdr:colOff>601980</xdr:colOff>
      <xdr:row>19</xdr:row>
      <xdr:rowOff>76200</xdr:rowOff>
    </xdr:to>
    <xdr:cxnSp macro="">
      <xdr:nvCxnSpPr>
        <xdr:cNvPr id="12" name="Conector angula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6667500" y="3627120"/>
          <a:ext cx="929640" cy="327660"/>
        </a:xfrm>
        <a:prstGeom prst="bentConnector3">
          <a:avLst>
            <a:gd name="adj1" fmla="val 100000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2606040</xdr:colOff>
      <xdr:row>7</xdr:row>
      <xdr:rowOff>129540</xdr:rowOff>
    </xdr:from>
    <xdr:to>
      <xdr:col>5</xdr:col>
      <xdr:colOff>3002280</xdr:colOff>
      <xdr:row>7</xdr:row>
      <xdr:rowOff>129540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6385560" y="1600200"/>
          <a:ext cx="39624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937261</xdr:colOff>
      <xdr:row>30</xdr:row>
      <xdr:rowOff>76200</xdr:rowOff>
    </xdr:from>
    <xdr:to>
      <xdr:col>5</xdr:col>
      <xdr:colOff>1387835</xdr:colOff>
      <xdr:row>32</xdr:row>
      <xdr:rowOff>154745</xdr:rowOff>
    </xdr:to>
    <xdr:pic>
      <xdr:nvPicPr>
        <xdr:cNvPr id="7" name="Imagen 6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8661" y="622554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99060</xdr:colOff>
      <xdr:row>30</xdr:row>
      <xdr:rowOff>87924</xdr:rowOff>
    </xdr:from>
    <xdr:to>
      <xdr:col>5</xdr:col>
      <xdr:colOff>979687</xdr:colOff>
      <xdr:row>32</xdr:row>
      <xdr:rowOff>167640</xdr:rowOff>
    </xdr:to>
    <xdr:sp macro="" textlink="">
      <xdr:nvSpPr>
        <xdr:cNvPr id="10" name="CuadroTexto 9">
          <a:hlinkClick xmlns:r="http://schemas.openxmlformats.org/officeDocument/2006/relationships" r:id="rId1" tooltip="Conozca si su negocio puede ser franquiciado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680460" y="6237264"/>
          <a:ext cx="880627" cy="445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1">
                  <a:lumMod val="50000"/>
                </a:schemeClr>
              </a:solidFill>
            </a:rPr>
            <a:t>Siguiente</a:t>
          </a:r>
        </a:p>
      </xdr:txBody>
    </xdr:sp>
    <xdr:clientData/>
  </xdr:twoCellAnchor>
  <xdr:twoCellAnchor>
    <xdr:from>
      <xdr:col>5</xdr:col>
      <xdr:colOff>922021</xdr:colOff>
      <xdr:row>27</xdr:row>
      <xdr:rowOff>99060</xdr:rowOff>
    </xdr:from>
    <xdr:to>
      <xdr:col>5</xdr:col>
      <xdr:colOff>1372595</xdr:colOff>
      <xdr:row>29</xdr:row>
      <xdr:rowOff>177605</xdr:rowOff>
    </xdr:to>
    <xdr:pic>
      <xdr:nvPicPr>
        <xdr:cNvPr id="13" name="Imagen 12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503421" y="5699760"/>
          <a:ext cx="450574" cy="444305"/>
        </a:xfrm>
        <a:prstGeom prst="rect">
          <a:avLst/>
        </a:prstGeom>
      </xdr:spPr>
    </xdr:pic>
    <xdr:clientData/>
  </xdr:twoCellAnchor>
  <xdr:twoCellAnchor>
    <xdr:from>
      <xdr:col>5</xdr:col>
      <xdr:colOff>83820</xdr:colOff>
      <xdr:row>27</xdr:row>
      <xdr:rowOff>110784</xdr:rowOff>
    </xdr:from>
    <xdr:to>
      <xdr:col>5</xdr:col>
      <xdr:colOff>964447</xdr:colOff>
      <xdr:row>30</xdr:row>
      <xdr:rowOff>0</xdr:rowOff>
    </xdr:to>
    <xdr:sp macro="" textlink="">
      <xdr:nvSpPr>
        <xdr:cNvPr id="15" name="CuadroTexto 14">
          <a:hlinkClick xmlns:r="http://schemas.openxmlformats.org/officeDocument/2006/relationships" r:id="rId3" tooltip="Retorne a la Dinámica de su Negocio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665220" y="5711484"/>
          <a:ext cx="880627" cy="437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838201</xdr:colOff>
      <xdr:row>29</xdr:row>
      <xdr:rowOff>0</xdr:rowOff>
    </xdr:from>
    <xdr:to>
      <xdr:col>15</xdr:col>
      <xdr:colOff>343895</xdr:colOff>
      <xdr:row>31</xdr:row>
      <xdr:rowOff>78545</xdr:rowOff>
    </xdr:to>
    <xdr:pic>
      <xdr:nvPicPr>
        <xdr:cNvPr id="4" name="Imagen 3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1254741" y="5608320"/>
          <a:ext cx="450574" cy="444305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29</xdr:row>
      <xdr:rowOff>11724</xdr:rowOff>
    </xdr:from>
    <xdr:to>
      <xdr:col>14</xdr:col>
      <xdr:colOff>880627</xdr:colOff>
      <xdr:row>31</xdr:row>
      <xdr:rowOff>83820</xdr:rowOff>
    </xdr:to>
    <xdr:sp macro="" textlink="">
      <xdr:nvSpPr>
        <xdr:cNvPr id="5" name="CuadroTexto 4">
          <a:hlinkClick xmlns:r="http://schemas.openxmlformats.org/officeDocument/2006/relationships" r:id="rId1" tooltip="Analice de nuevo su posible Presupuesto Anual como franquicia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416540" y="5620044"/>
          <a:ext cx="880627" cy="437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Página</a:t>
          </a:r>
        </a:p>
        <a:p>
          <a:pPr algn="r"/>
          <a:r>
            <a:rPr lang="es-NI" sz="1050" b="1">
              <a:solidFill>
                <a:schemeClr val="accent4">
                  <a:lumMod val="75000"/>
                </a:schemeClr>
              </a:solidFill>
            </a:rPr>
            <a:t>Anterior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de%20Investigaci&#243;n/Documentos%20aun%20no%20archivados/Herramientas%20Administrativas%20de%20Contabilidad/SEC%20Memor&#237;a%20para%20C&#225;l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 de Información"/>
      <sheetName val="Hoja2"/>
      <sheetName val="Hoja3"/>
    </sheetNames>
    <sheetDataSet>
      <sheetData sheetId="0">
        <row r="7">
          <cell r="B7" t="str">
            <v>A.1</v>
          </cell>
        </row>
        <row r="8">
          <cell r="B8" t="str">
            <v>A.2</v>
          </cell>
        </row>
        <row r="9">
          <cell r="B9" t="str">
            <v>A.3</v>
          </cell>
        </row>
        <row r="10">
          <cell r="B10" t="str">
            <v>A.4</v>
          </cell>
        </row>
        <row r="11">
          <cell r="B11" t="str">
            <v>A.5</v>
          </cell>
        </row>
        <row r="12">
          <cell r="B12" t="str">
            <v>A.6</v>
          </cell>
        </row>
        <row r="13">
          <cell r="B13" t="str">
            <v>B.1</v>
          </cell>
        </row>
        <row r="14">
          <cell r="B14" t="str">
            <v>B.2</v>
          </cell>
        </row>
        <row r="15">
          <cell r="B15" t="str">
            <v>B.3</v>
          </cell>
        </row>
        <row r="16">
          <cell r="B16" t="str">
            <v>B.4</v>
          </cell>
        </row>
        <row r="17">
          <cell r="B17" t="str">
            <v>C</v>
          </cell>
        </row>
        <row r="18">
          <cell r="B18" t="str">
            <v>D.1</v>
          </cell>
        </row>
        <row r="19">
          <cell r="B19" t="str">
            <v>D.2</v>
          </cell>
        </row>
        <row r="20">
          <cell r="B20" t="str">
            <v>D.3</v>
          </cell>
        </row>
        <row r="21">
          <cell r="B21" t="str">
            <v>D.4</v>
          </cell>
        </row>
        <row r="22">
          <cell r="B22" t="str">
            <v>D.5</v>
          </cell>
        </row>
        <row r="23">
          <cell r="B23" t="str">
            <v>D.6</v>
          </cell>
        </row>
        <row r="24">
          <cell r="B24" t="str">
            <v>E.1</v>
          </cell>
        </row>
        <row r="25">
          <cell r="B25" t="str">
            <v>E.2</v>
          </cell>
        </row>
        <row r="26">
          <cell r="B26" t="str">
            <v>E.3</v>
          </cell>
        </row>
        <row r="27">
          <cell r="B27" t="str">
            <v>E.4</v>
          </cell>
        </row>
        <row r="28">
          <cell r="B28" t="str">
            <v>F</v>
          </cell>
        </row>
        <row r="29">
          <cell r="B29" t="str">
            <v>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inpartnersgroup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71F23-32D7-42F6-8B52-D815CA73896D}">
  <dimension ref="A1:R31"/>
  <sheetViews>
    <sheetView showGridLines="0" showRowColHeaders="0" tabSelected="1" workbookViewId="0"/>
  </sheetViews>
  <sheetFormatPr baseColWidth="10" defaultRowHeight="14.4" x14ac:dyDescent="0.3"/>
  <cols>
    <col min="1" max="1" width="5.33203125" customWidth="1"/>
    <col min="4" max="4" width="17.109375" customWidth="1"/>
    <col min="5" max="5" width="11.5546875" customWidth="1"/>
    <col min="9" max="9" width="9.109375" customWidth="1"/>
    <col min="13" max="13" width="14.88671875" customWidth="1"/>
  </cols>
  <sheetData>
    <row r="1" spans="1:18" ht="14.4" customHeight="1" x14ac:dyDescent="0.3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ht="14.4" customHeight="1" x14ac:dyDescent="0.3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</row>
    <row r="3" spans="1:18" ht="14.4" customHeight="1" x14ac:dyDescent="0.3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</row>
    <row r="11" spans="1:18" x14ac:dyDescent="0.3">
      <c r="D11" t="s">
        <v>133</v>
      </c>
    </row>
    <row r="31" spans="3:16" x14ac:dyDescent="0.3">
      <c r="C31" t="s">
        <v>133</v>
      </c>
      <c r="G31" t="s">
        <v>133</v>
      </c>
      <c r="L31" t="s">
        <v>133</v>
      </c>
      <c r="P31" t="s">
        <v>133</v>
      </c>
    </row>
  </sheetData>
  <sheetProtection algorithmName="SHA-512" hashValue="SRFxTFlUfeZx3sHZ3YnIs+CKmncHB04L338DuIOznDXMdT+QS+EW83Mv1lJ4bl7vZWwzxlQVUanOCjEg/EgPKQ==" saltValue="8t/T+OEC/JLDj5+UHHvWrg==" spinCount="100000" sheet="1" objects="1" scenarios="1" selectLockedCells="1" selectUnlockedCells="1"/>
  <hyperlinks>
    <hyperlink ref="A34" r:id="rId1" display="https://www.winpartnersgroup.com/ " xr:uid="{684E8539-BE12-4BFE-B1E7-C17F52EA64C7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0"/>
  <sheetViews>
    <sheetView showGridLines="0" showRowColHeaders="0" zoomScaleNormal="100" workbookViewId="0">
      <selection activeCell="D17" sqref="D17"/>
    </sheetView>
  </sheetViews>
  <sheetFormatPr baseColWidth="10" defaultRowHeight="14.4" x14ac:dyDescent="0.3"/>
  <cols>
    <col min="1" max="1" width="17.44140625" customWidth="1"/>
    <col min="2" max="2" width="11.5546875" customWidth="1"/>
    <col min="3" max="3" width="27.21875" customWidth="1"/>
    <col min="4" max="4" width="12.109375" bestFit="1" customWidth="1"/>
    <col min="5" max="5" width="6.44140625" customWidth="1"/>
    <col min="6" max="6" width="29.109375" customWidth="1"/>
    <col min="11" max="11" width="16.88671875" bestFit="1" customWidth="1"/>
  </cols>
  <sheetData>
    <row r="1" spans="2:13" ht="25.8" x14ac:dyDescent="0.5">
      <c r="B1" s="26" t="s">
        <v>143</v>
      </c>
    </row>
    <row r="3" spans="2:13" ht="21" x14ac:dyDescent="0.4">
      <c r="B3" s="45">
        <v>1</v>
      </c>
      <c r="C3" s="24" t="s">
        <v>29</v>
      </c>
      <c r="H3" s="45">
        <v>4</v>
      </c>
      <c r="I3" s="24" t="s">
        <v>81</v>
      </c>
    </row>
    <row r="4" spans="2:13" ht="21" x14ac:dyDescent="0.4">
      <c r="B4" s="23" t="s">
        <v>34</v>
      </c>
      <c r="D4" s="21"/>
      <c r="E4" s="21"/>
      <c r="I4" s="23" t="s">
        <v>86</v>
      </c>
    </row>
    <row r="5" spans="2:13" x14ac:dyDescent="0.3">
      <c r="B5" s="23" t="s">
        <v>40</v>
      </c>
      <c r="E5" s="22"/>
      <c r="I5" s="23" t="s">
        <v>87</v>
      </c>
    </row>
    <row r="6" spans="2:13" x14ac:dyDescent="0.3">
      <c r="J6" s="4" t="s">
        <v>89</v>
      </c>
      <c r="L6" s="52" t="s">
        <v>85</v>
      </c>
    </row>
    <row r="7" spans="2:13" x14ac:dyDescent="0.3">
      <c r="C7" s="6" t="s">
        <v>3</v>
      </c>
      <c r="D7" s="59">
        <v>0</v>
      </c>
      <c r="E7" s="22"/>
      <c r="J7" s="6" t="s">
        <v>82</v>
      </c>
      <c r="K7" s="59">
        <v>18</v>
      </c>
      <c r="L7" s="56">
        <v>4</v>
      </c>
      <c r="M7" s="51">
        <f>L7/$L$10</f>
        <v>0.16666666666666666</v>
      </c>
    </row>
    <row r="8" spans="2:13" x14ac:dyDescent="0.3">
      <c r="C8" s="6" t="s">
        <v>5</v>
      </c>
      <c r="D8" s="59">
        <v>38</v>
      </c>
      <c r="J8" s="6" t="s">
        <v>84</v>
      </c>
      <c r="K8" s="59">
        <v>15</v>
      </c>
      <c r="L8" s="56">
        <v>8</v>
      </c>
      <c r="M8" s="51">
        <f>L8/$L$10</f>
        <v>0.33333333333333331</v>
      </c>
    </row>
    <row r="9" spans="2:13" x14ac:dyDescent="0.3">
      <c r="C9" s="6" t="s">
        <v>7</v>
      </c>
      <c r="D9" s="59">
        <v>0</v>
      </c>
      <c r="J9" s="6" t="s">
        <v>83</v>
      </c>
      <c r="K9" s="59">
        <v>10</v>
      </c>
      <c r="L9" s="56">
        <v>12</v>
      </c>
      <c r="M9" s="51">
        <f>L9/$L$10</f>
        <v>0.5</v>
      </c>
    </row>
    <row r="10" spans="2:13" x14ac:dyDescent="0.3">
      <c r="C10" s="6" t="s">
        <v>33</v>
      </c>
      <c r="D10" s="5">
        <f>SUM(D7:D9)</f>
        <v>38</v>
      </c>
      <c r="J10" s="6" t="s">
        <v>88</v>
      </c>
      <c r="K10" s="5">
        <f>AVERAGE(K7:K9)</f>
        <v>14.333333333333334</v>
      </c>
      <c r="L10" s="50">
        <f>SUM(L7:L9)</f>
        <v>24</v>
      </c>
      <c r="M10" s="51">
        <f>L10/$L$10</f>
        <v>1</v>
      </c>
    </row>
    <row r="11" spans="2:13" x14ac:dyDescent="0.3">
      <c r="J11" s="4" t="s">
        <v>90</v>
      </c>
    </row>
    <row r="12" spans="2:13" ht="21" x14ac:dyDescent="0.4">
      <c r="B12" s="45">
        <v>2</v>
      </c>
      <c r="C12" s="24" t="s">
        <v>30</v>
      </c>
      <c r="J12" s="6" t="s">
        <v>82</v>
      </c>
      <c r="K12" s="59">
        <v>5.5</v>
      </c>
    </row>
    <row r="13" spans="2:13" ht="21" x14ac:dyDescent="0.4">
      <c r="B13" s="23" t="s">
        <v>38</v>
      </c>
      <c r="D13" s="21"/>
      <c r="E13" s="21"/>
      <c r="J13" s="6" t="s">
        <v>83</v>
      </c>
      <c r="K13" s="59">
        <v>2</v>
      </c>
    </row>
    <row r="14" spans="2:13" x14ac:dyDescent="0.3">
      <c r="B14" s="23" t="s">
        <v>39</v>
      </c>
      <c r="K14" s="5">
        <f>AVERAGE(K12:K13)</f>
        <v>3.75</v>
      </c>
    </row>
    <row r="15" spans="2:13" x14ac:dyDescent="0.3">
      <c r="B15" s="22"/>
      <c r="J15" s="4" t="s">
        <v>91</v>
      </c>
      <c r="K15" s="5">
        <f>K10+K14</f>
        <v>18.083333333333336</v>
      </c>
    </row>
    <row r="16" spans="2:13" x14ac:dyDescent="0.3">
      <c r="C16" s="6" t="s">
        <v>37</v>
      </c>
      <c r="D16" s="56">
        <v>10</v>
      </c>
    </row>
    <row r="17" spans="2:13" ht="21" x14ac:dyDescent="0.4">
      <c r="B17" s="22"/>
      <c r="C17" s="6" t="s">
        <v>31</v>
      </c>
      <c r="D17" s="56">
        <v>35</v>
      </c>
      <c r="E17" s="22"/>
      <c r="H17" s="120" t="s">
        <v>141</v>
      </c>
      <c r="I17" s="121"/>
      <c r="J17" s="121"/>
      <c r="K17" s="121"/>
      <c r="L17" s="121"/>
      <c r="M17" s="122"/>
    </row>
    <row r="18" spans="2:13" ht="14.4" customHeight="1" x14ac:dyDescent="0.3">
      <c r="C18" s="6" t="s">
        <v>32</v>
      </c>
      <c r="D18" s="50">
        <f>D17/D16</f>
        <v>3.5</v>
      </c>
      <c r="E18" s="22"/>
      <c r="H18" s="117" t="s">
        <v>142</v>
      </c>
      <c r="I18" s="118"/>
      <c r="J18" s="118"/>
      <c r="K18" s="118"/>
      <c r="L18" s="118"/>
      <c r="M18" s="119"/>
    </row>
    <row r="19" spans="2:13" x14ac:dyDescent="0.3">
      <c r="B19" s="25"/>
      <c r="C19" s="6" t="s">
        <v>51</v>
      </c>
      <c r="D19" s="60">
        <v>0.45</v>
      </c>
      <c r="E19" s="22"/>
      <c r="H19" s="102"/>
      <c r="I19" s="103"/>
      <c r="J19" s="103"/>
      <c r="K19" s="103"/>
      <c r="L19" s="103"/>
      <c r="M19" s="104"/>
    </row>
    <row r="20" spans="2:13" ht="21" x14ac:dyDescent="0.4">
      <c r="B20" s="22"/>
      <c r="C20" s="6" t="s">
        <v>134</v>
      </c>
      <c r="D20" s="50">
        <f>D16*D19</f>
        <v>4.5</v>
      </c>
      <c r="E20" s="22"/>
      <c r="H20" s="105"/>
      <c r="I20" s="103"/>
      <c r="J20" s="99" t="str">
        <f>IF(D7&gt;0,C7,IF(D8&gt;0,C8,IF(D9&gt;0,C9,0)))</f>
        <v>Comida Ejecutiva</v>
      </c>
      <c r="K20" s="113">
        <f>(D27*D26)*D28*(D20*D18)*K15</f>
        <v>54684.000000000007</v>
      </c>
      <c r="L20" s="103"/>
      <c r="M20" s="104"/>
    </row>
    <row r="21" spans="2:13" ht="15.6" x14ac:dyDescent="0.3">
      <c r="H21" s="105"/>
      <c r="I21" s="103"/>
      <c r="J21" s="100" t="s">
        <v>42</v>
      </c>
      <c r="K21" s="106">
        <f>K20/K15</f>
        <v>3024</v>
      </c>
      <c r="L21" s="101" t="s">
        <v>43</v>
      </c>
      <c r="M21" s="104"/>
    </row>
    <row r="22" spans="2:13" ht="21" x14ac:dyDescent="0.4">
      <c r="B22" s="45">
        <v>3</v>
      </c>
      <c r="C22" s="24" t="s">
        <v>35</v>
      </c>
      <c r="H22" s="105"/>
      <c r="I22" s="103"/>
      <c r="J22" s="100" t="s">
        <v>42</v>
      </c>
      <c r="K22" s="106">
        <f>K21/D28</f>
        <v>756</v>
      </c>
      <c r="L22" s="101" t="s">
        <v>44</v>
      </c>
      <c r="M22" s="104"/>
    </row>
    <row r="23" spans="2:13" ht="21" x14ac:dyDescent="0.4">
      <c r="B23" s="23" t="s">
        <v>41</v>
      </c>
      <c r="D23" s="21"/>
      <c r="E23" s="21"/>
      <c r="H23" s="105"/>
      <c r="I23" s="103"/>
      <c r="J23" s="100" t="s">
        <v>42</v>
      </c>
      <c r="K23" s="106">
        <f>K22/D26</f>
        <v>126</v>
      </c>
      <c r="L23" s="101" t="s">
        <v>45</v>
      </c>
      <c r="M23" s="104"/>
    </row>
    <row r="24" spans="2:13" ht="15.6" x14ac:dyDescent="0.3">
      <c r="B24" s="23" t="s">
        <v>40</v>
      </c>
      <c r="E24" s="22"/>
      <c r="H24" s="105"/>
      <c r="I24" s="103"/>
      <c r="J24" s="100" t="s">
        <v>42</v>
      </c>
      <c r="K24" s="106">
        <f>K23/D27</f>
        <v>15.75</v>
      </c>
      <c r="L24" s="101" t="s">
        <v>46</v>
      </c>
      <c r="M24" s="104"/>
    </row>
    <row r="25" spans="2:13" x14ac:dyDescent="0.3">
      <c r="H25" s="105"/>
      <c r="I25" s="103"/>
      <c r="J25" s="103"/>
      <c r="K25" s="103"/>
      <c r="L25" s="103"/>
      <c r="M25" s="104"/>
    </row>
    <row r="26" spans="2:13" ht="21" x14ac:dyDescent="0.4">
      <c r="C26" s="6" t="s">
        <v>49</v>
      </c>
      <c r="D26" s="56">
        <v>6</v>
      </c>
      <c r="H26" s="105"/>
      <c r="I26" s="103"/>
      <c r="J26" s="99" t="str">
        <f>J21</f>
        <v>Platos y Bebidas a vender</v>
      </c>
      <c r="K26" s="114">
        <f>K21</f>
        <v>3024</v>
      </c>
      <c r="L26" s="103"/>
      <c r="M26" s="104"/>
    </row>
    <row r="27" spans="2:13" ht="15.6" x14ac:dyDescent="0.3">
      <c r="C27" s="6" t="s">
        <v>50</v>
      </c>
      <c r="D27" s="56">
        <v>8</v>
      </c>
      <c r="H27" s="105"/>
      <c r="I27" s="103"/>
      <c r="J27" s="100" t="s">
        <v>47</v>
      </c>
      <c r="K27" s="106">
        <f>K21/$D$29</f>
        <v>1439.0526315789475</v>
      </c>
      <c r="L27" s="101" t="s">
        <v>43</v>
      </c>
      <c r="M27" s="104"/>
    </row>
    <row r="28" spans="2:13" ht="15.6" x14ac:dyDescent="0.3">
      <c r="C28" s="6" t="s">
        <v>36</v>
      </c>
      <c r="D28" s="61">
        <v>4</v>
      </c>
      <c r="H28" s="105"/>
      <c r="I28" s="103"/>
      <c r="J28" s="100" t="s">
        <v>47</v>
      </c>
      <c r="K28" s="106">
        <f>K22/$D$29</f>
        <v>359.76315789473688</v>
      </c>
      <c r="L28" s="101" t="s">
        <v>44</v>
      </c>
      <c r="M28" s="104"/>
    </row>
    <row r="29" spans="2:13" ht="15.6" x14ac:dyDescent="0.3">
      <c r="C29" s="6" t="s">
        <v>48</v>
      </c>
      <c r="D29" s="49">
        <f>D10/K15</f>
        <v>2.1013824884792625</v>
      </c>
      <c r="H29" s="105"/>
      <c r="I29" s="103"/>
      <c r="J29" s="100" t="s">
        <v>47</v>
      </c>
      <c r="K29" s="106">
        <f>K23/$D$29</f>
        <v>59.96052631578948</v>
      </c>
      <c r="L29" s="101" t="s">
        <v>45</v>
      </c>
      <c r="M29" s="104"/>
    </row>
    <row r="30" spans="2:13" ht="15.6" x14ac:dyDescent="0.3">
      <c r="C30" s="6"/>
      <c r="H30" s="107"/>
      <c r="I30" s="108"/>
      <c r="J30" s="109" t="s">
        <v>47</v>
      </c>
      <c r="K30" s="110">
        <f>K24/$D$29</f>
        <v>7.495065789473685</v>
      </c>
      <c r="L30" s="111" t="s">
        <v>46</v>
      </c>
      <c r="M30" s="112"/>
    </row>
  </sheetData>
  <sheetProtection algorithmName="SHA-512" hashValue="Hv1dH0g5PDP0PJM1A1gKIhRDnSNdCbrWrNh5IChYy+x7dVTY9G3ZAILabQDeeTCqFs3W/YgF06uEIJM11Wi08A==" saltValue="zNwIpHj0rcx2X9tdYtjqWw==" spinCount="100000" sheet="1" objects="1" scenarios="1" selectLockedCells="1"/>
  <mergeCells count="2">
    <mergeCell ref="H18:M18"/>
    <mergeCell ref="H17:M17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showGridLines="0" showRowColHeaders="0" zoomScaleNormal="100" workbookViewId="0">
      <selection activeCell="G9" sqref="G9"/>
    </sheetView>
  </sheetViews>
  <sheetFormatPr baseColWidth="10" defaultRowHeight="14.4" x14ac:dyDescent="0.3"/>
  <cols>
    <col min="1" max="1" width="8.6640625" customWidth="1"/>
    <col min="2" max="2" width="11.5546875" customWidth="1"/>
    <col min="3" max="3" width="15.77734375" customWidth="1"/>
    <col min="4" max="4" width="9.77734375" customWidth="1"/>
    <col min="5" max="5" width="6.44140625" customWidth="1"/>
    <col min="6" max="6" width="46.88671875" customWidth="1"/>
    <col min="7" max="7" width="16.88671875" bestFit="1" customWidth="1"/>
    <col min="8" max="8" width="2" style="34" customWidth="1"/>
    <col min="11" max="14" width="15.77734375" customWidth="1"/>
    <col min="15" max="15" width="3.88671875" customWidth="1"/>
  </cols>
  <sheetData>
    <row r="1" spans="2:16" ht="25.8" x14ac:dyDescent="0.5">
      <c r="B1" s="115" t="s">
        <v>144</v>
      </c>
    </row>
    <row r="2" spans="2:16" ht="11.4" customHeight="1" x14ac:dyDescent="0.3"/>
    <row r="3" spans="2:16" ht="21" x14ac:dyDescent="0.4">
      <c r="B3" s="45">
        <v>1</v>
      </c>
      <c r="C3" s="24" t="s">
        <v>72</v>
      </c>
      <c r="I3" s="127" t="s">
        <v>62</v>
      </c>
      <c r="J3" s="127"/>
      <c r="K3" s="127"/>
      <c r="L3" s="127"/>
      <c r="M3" s="127"/>
      <c r="N3" s="127"/>
      <c r="O3" s="127"/>
    </row>
    <row r="4" spans="2:16" x14ac:dyDescent="0.3">
      <c r="B4" s="23" t="s">
        <v>59</v>
      </c>
      <c r="I4" s="36"/>
      <c r="J4" s="36"/>
      <c r="K4" s="36"/>
      <c r="L4" s="36"/>
      <c r="M4" s="36"/>
      <c r="N4" s="36"/>
      <c r="O4" s="36"/>
    </row>
    <row r="5" spans="2:16" ht="18" x14ac:dyDescent="0.35">
      <c r="B5" s="23" t="s">
        <v>145</v>
      </c>
      <c r="I5" s="36"/>
      <c r="J5" s="37"/>
      <c r="K5" s="38" t="s">
        <v>18</v>
      </c>
      <c r="L5" s="38" t="s">
        <v>69</v>
      </c>
      <c r="M5" s="38" t="s">
        <v>70</v>
      </c>
      <c r="N5" s="38" t="s">
        <v>67</v>
      </c>
      <c r="O5" s="36"/>
    </row>
    <row r="6" spans="2:16" ht="18" x14ac:dyDescent="0.35">
      <c r="B6" s="23" t="s">
        <v>146</v>
      </c>
      <c r="I6" s="36"/>
      <c r="J6" s="37" t="s">
        <v>63</v>
      </c>
      <c r="K6" s="35">
        <f>SUM(C21:C23)</f>
        <v>164052.00000000003</v>
      </c>
      <c r="L6" s="35">
        <f>SUM(K21:K23)</f>
        <v>49215.600000000006</v>
      </c>
      <c r="M6" s="35">
        <f>SUM(N21:N23)</f>
        <v>82026.000000000015</v>
      </c>
      <c r="N6" s="47">
        <f>K6-L6-M6</f>
        <v>32810.400000000009</v>
      </c>
      <c r="O6" s="36"/>
    </row>
    <row r="7" spans="2:16" ht="18" x14ac:dyDescent="0.35">
      <c r="B7" s="23"/>
      <c r="I7" s="36"/>
      <c r="J7" s="37" t="s">
        <v>64</v>
      </c>
      <c r="K7" s="35">
        <f>SUM(C24:C26)</f>
        <v>171864.00000000003</v>
      </c>
      <c r="L7" s="35">
        <f>SUM(K24:K26)</f>
        <v>51559.200000000004</v>
      </c>
      <c r="M7" s="35">
        <f>SUM(N24:N26)</f>
        <v>85932.000000000015</v>
      </c>
      <c r="N7" s="47">
        <f t="shared" ref="N7:N9" si="0">K7-L7-M7</f>
        <v>34372.800000000003</v>
      </c>
      <c r="O7" s="36"/>
    </row>
    <row r="8" spans="2:16" ht="18" x14ac:dyDescent="0.35">
      <c r="E8" s="27" t="str">
        <f>'Multiplicando su Negocio'!J20</f>
        <v>Comida Ejecutiva</v>
      </c>
      <c r="F8" s="30" t="s">
        <v>58</v>
      </c>
      <c r="G8" s="31">
        <f>'Multiplicando su Negocio'!K20</f>
        <v>54684.000000000007</v>
      </c>
      <c r="H8" s="41"/>
      <c r="I8" s="39"/>
      <c r="J8" s="37" t="s">
        <v>65</v>
      </c>
      <c r="K8" s="35">
        <f>SUM(C27:C29)</f>
        <v>156240.00000000003</v>
      </c>
      <c r="L8" s="35">
        <f>SUM(K27:K29)</f>
        <v>46872</v>
      </c>
      <c r="M8" s="35">
        <f>SUM(N27:N29)</f>
        <v>78120.000000000015</v>
      </c>
      <c r="N8" s="47">
        <f t="shared" si="0"/>
        <v>31248.000000000015</v>
      </c>
      <c r="O8" s="36"/>
    </row>
    <row r="9" spans="2:16" ht="18" x14ac:dyDescent="0.35">
      <c r="F9" s="29" t="s">
        <v>53</v>
      </c>
      <c r="G9" s="55" t="s">
        <v>17</v>
      </c>
      <c r="H9" s="42"/>
      <c r="I9" s="36"/>
      <c r="J9" s="37" t="s">
        <v>66</v>
      </c>
      <c r="K9" s="35">
        <f>SUM(C30:C32)</f>
        <v>195300.00000000003</v>
      </c>
      <c r="L9" s="35">
        <f>SUM(K30:K32)</f>
        <v>58590</v>
      </c>
      <c r="M9" s="35">
        <f>SUM(N30:N32)</f>
        <v>97650.000000000015</v>
      </c>
      <c r="N9" s="47">
        <f t="shared" si="0"/>
        <v>39060.000000000015</v>
      </c>
      <c r="O9" s="36"/>
    </row>
    <row r="10" spans="2:16" ht="18" customHeight="1" x14ac:dyDescent="0.35">
      <c r="B10" s="32"/>
      <c r="C10" s="32"/>
      <c r="D10" s="32"/>
      <c r="E10" s="32"/>
      <c r="F10" s="29" t="s">
        <v>54</v>
      </c>
      <c r="G10" s="55">
        <v>7</v>
      </c>
      <c r="H10" s="42"/>
      <c r="I10" s="36"/>
      <c r="J10" s="37" t="s">
        <v>68</v>
      </c>
      <c r="K10" s="40">
        <f>SUM(K6:K9)</f>
        <v>687456.00000000012</v>
      </c>
      <c r="L10" s="40">
        <f t="shared" ref="L10:N10" si="1">SUM(L6:L9)</f>
        <v>206236.80000000002</v>
      </c>
      <c r="M10" s="40">
        <f t="shared" si="1"/>
        <v>343728.00000000006</v>
      </c>
      <c r="N10" s="40">
        <f t="shared" si="1"/>
        <v>137491.20000000004</v>
      </c>
      <c r="O10" s="36"/>
      <c r="P10" s="48">
        <f>N10/K10</f>
        <v>0.20000000000000004</v>
      </c>
    </row>
    <row r="11" spans="2:16" x14ac:dyDescent="0.3">
      <c r="F11" s="29" t="s">
        <v>138</v>
      </c>
      <c r="G11" s="56" t="s">
        <v>136</v>
      </c>
      <c r="H11" s="43"/>
      <c r="I11" s="126" t="s">
        <v>93</v>
      </c>
      <c r="J11" s="126"/>
      <c r="K11" s="126"/>
      <c r="L11" s="126"/>
      <c r="M11" s="126"/>
      <c r="N11" s="126"/>
      <c r="O11" s="126"/>
    </row>
    <row r="12" spans="2:16" x14ac:dyDescent="0.3">
      <c r="I12" s="23"/>
    </row>
    <row r="13" spans="2:16" ht="21" x14ac:dyDescent="0.4">
      <c r="B13" s="45">
        <v>2</v>
      </c>
      <c r="C13" s="24" t="s">
        <v>71</v>
      </c>
      <c r="I13" s="45">
        <v>3</v>
      </c>
      <c r="J13" s="24" t="s">
        <v>73</v>
      </c>
      <c r="K13" s="24"/>
    </row>
    <row r="14" spans="2:16" ht="21" x14ac:dyDescent="0.4">
      <c r="B14" s="23" t="s">
        <v>55</v>
      </c>
      <c r="D14" s="21"/>
      <c r="E14" s="21"/>
      <c r="J14" s="23" t="s">
        <v>74</v>
      </c>
    </row>
    <row r="15" spans="2:16" x14ac:dyDescent="0.3">
      <c r="B15" s="23" t="s">
        <v>57</v>
      </c>
      <c r="E15" s="22"/>
      <c r="J15" s="23" t="s">
        <v>75</v>
      </c>
    </row>
    <row r="16" spans="2:16" x14ac:dyDescent="0.3">
      <c r="B16" t="s">
        <v>135</v>
      </c>
      <c r="G16" s="55" t="s">
        <v>16</v>
      </c>
      <c r="H16" s="42"/>
      <c r="J16" t="s">
        <v>76</v>
      </c>
      <c r="M16" t="s">
        <v>79</v>
      </c>
    </row>
    <row r="17" spans="2:14" x14ac:dyDescent="0.3">
      <c r="B17" t="s">
        <v>56</v>
      </c>
      <c r="G17" s="55">
        <v>5</v>
      </c>
      <c r="H17" s="42"/>
      <c r="J17" t="s">
        <v>77</v>
      </c>
      <c r="M17" t="s">
        <v>77</v>
      </c>
    </row>
    <row r="18" spans="2:14" x14ac:dyDescent="0.3">
      <c r="B18" t="s">
        <v>52</v>
      </c>
      <c r="J18" t="s">
        <v>78</v>
      </c>
      <c r="M18" t="s">
        <v>78</v>
      </c>
    </row>
    <row r="19" spans="2:14" x14ac:dyDescent="0.3">
      <c r="K19" s="58">
        <v>0.3</v>
      </c>
      <c r="N19" s="58">
        <v>0.5</v>
      </c>
    </row>
    <row r="20" spans="2:14" ht="15.6" x14ac:dyDescent="0.3">
      <c r="B20" s="123" t="s">
        <v>11</v>
      </c>
      <c r="C20" s="125"/>
      <c r="D20" s="124"/>
      <c r="F20" s="46" t="s">
        <v>137</v>
      </c>
      <c r="J20" s="123" t="s">
        <v>60</v>
      </c>
      <c r="K20" s="124"/>
      <c r="M20" s="123" t="s">
        <v>61</v>
      </c>
      <c r="N20" s="124"/>
    </row>
    <row r="21" spans="2:14" ht="15.6" customHeight="1" x14ac:dyDescent="0.3">
      <c r="B21" s="14" t="s">
        <v>13</v>
      </c>
      <c r="C21" s="16">
        <f>IF($G$16="Enero",'Multiplicando su Negocio'!$K$20*'Presupuesto Anual Franquicias'!D21/'Presupuesto Anual Franquicias'!$G$10,'Multiplicando su Negocio'!$K$20*'Presupuesto Anual Franquicias'!D21/'Presupuesto Anual Franquicias'!$G$10)</f>
        <v>70308.000000000015</v>
      </c>
      <c r="D21" s="28">
        <f>IF($G$16="Enero",$G$17,G21)</f>
        <v>9</v>
      </c>
      <c r="F21" s="29" t="str">
        <f>B21</f>
        <v>Enero</v>
      </c>
      <c r="G21" s="57">
        <v>9</v>
      </c>
      <c r="H21" s="44"/>
      <c r="J21" s="14" t="s">
        <v>13</v>
      </c>
      <c r="K21" s="33">
        <f>C21*$K$19</f>
        <v>21092.400000000005</v>
      </c>
      <c r="M21" s="14" t="s">
        <v>13</v>
      </c>
      <c r="N21" s="33">
        <f>C21*$N$19</f>
        <v>35154.000000000007</v>
      </c>
    </row>
    <row r="22" spans="2:14" x14ac:dyDescent="0.3">
      <c r="B22" s="14" t="s">
        <v>16</v>
      </c>
      <c r="C22" s="16">
        <f>IF($G$16="Febrero",'Multiplicando su Negocio'!$K$20*'Presupuesto Anual Franquicias'!D22/'Presupuesto Anual Franquicias'!$G$10,'Multiplicando su Negocio'!$K$20*'Presupuesto Anual Franquicias'!D22/'Presupuesto Anual Franquicias'!$G$10)</f>
        <v>39060.000000000007</v>
      </c>
      <c r="D22" s="28">
        <f>IF($G$16="Febrero",$G$17,G22)</f>
        <v>5</v>
      </c>
      <c r="F22" s="29" t="str">
        <f t="shared" ref="F22:F32" si="2">B22</f>
        <v>Febrero</v>
      </c>
      <c r="G22" s="57">
        <v>5</v>
      </c>
      <c r="H22" s="44"/>
      <c r="J22" s="14" t="s">
        <v>16</v>
      </c>
      <c r="K22" s="33">
        <f t="shared" ref="K22:K32" si="3">C22*$K$19</f>
        <v>11718.000000000002</v>
      </c>
      <c r="M22" s="14" t="s">
        <v>16</v>
      </c>
      <c r="N22" s="33">
        <f t="shared" ref="N22:N32" si="4">C22*$N$19</f>
        <v>19530.000000000004</v>
      </c>
    </row>
    <row r="23" spans="2:14" x14ac:dyDescent="0.3">
      <c r="B23" s="14" t="s">
        <v>17</v>
      </c>
      <c r="C23" s="16">
        <f>IF($G$16="Marzo",'Multiplicando su Negocio'!$K$20*'Presupuesto Anual Franquicias'!D23/'Presupuesto Anual Franquicias'!$G$10,'Multiplicando su Negocio'!$K$20*'Presupuesto Anual Franquicias'!D23/'Presupuesto Anual Franquicias'!$G$10)</f>
        <v>54684.000000000007</v>
      </c>
      <c r="D23" s="28">
        <f>IF($G$16="Marzo",$G$17,G23)</f>
        <v>7</v>
      </c>
      <c r="F23" s="29" t="str">
        <f t="shared" si="2"/>
        <v>Marzo</v>
      </c>
      <c r="G23" s="57">
        <v>7</v>
      </c>
      <c r="H23" s="44"/>
      <c r="J23" s="14" t="s">
        <v>17</v>
      </c>
      <c r="K23" s="33">
        <f t="shared" si="3"/>
        <v>16405.2</v>
      </c>
      <c r="M23" s="14" t="s">
        <v>17</v>
      </c>
      <c r="N23" s="33">
        <f t="shared" si="4"/>
        <v>27342.000000000004</v>
      </c>
    </row>
    <row r="24" spans="2:14" x14ac:dyDescent="0.3">
      <c r="B24" s="14" t="s">
        <v>19</v>
      </c>
      <c r="C24" s="16">
        <f>IF($G$16="Abril",'Multiplicando su Negocio'!$K$20*'Presupuesto Anual Franquicias'!D24/'Presupuesto Anual Franquicias'!$G$10,'Multiplicando su Negocio'!$K$20*'Presupuesto Anual Franquicias'!D24/'Presupuesto Anual Franquicias'!$G$10)</f>
        <v>54684.000000000007</v>
      </c>
      <c r="D24" s="28">
        <f>IF($G$16="Abril",$G$17,G24)</f>
        <v>7</v>
      </c>
      <c r="F24" s="29" t="str">
        <f t="shared" si="2"/>
        <v>Abril</v>
      </c>
      <c r="G24" s="57">
        <v>7</v>
      </c>
      <c r="H24" s="44"/>
      <c r="J24" s="14" t="s">
        <v>19</v>
      </c>
      <c r="K24" s="33">
        <f t="shared" si="3"/>
        <v>16405.2</v>
      </c>
      <c r="M24" s="14" t="s">
        <v>19</v>
      </c>
      <c r="N24" s="33">
        <f t="shared" si="4"/>
        <v>27342.000000000004</v>
      </c>
    </row>
    <row r="25" spans="2:14" x14ac:dyDescent="0.3">
      <c r="B25" s="14" t="s">
        <v>20</v>
      </c>
      <c r="C25" s="16">
        <f>IF($G$16="Mayo",'Multiplicando su Negocio'!$K$20*'Presupuesto Anual Franquicias'!D25/'Presupuesto Anual Franquicias'!$G$10,'Multiplicando su Negocio'!$K$20*'Presupuesto Anual Franquicias'!D25/'Presupuesto Anual Franquicias'!$G$10)</f>
        <v>54684.000000000007</v>
      </c>
      <c r="D25" s="28">
        <f>IF($G$16="Mayo",$G$17,G25)</f>
        <v>7</v>
      </c>
      <c r="F25" s="29" t="str">
        <f t="shared" si="2"/>
        <v>Mayo</v>
      </c>
      <c r="G25" s="57">
        <v>7</v>
      </c>
      <c r="H25" s="44"/>
      <c r="J25" s="14" t="s">
        <v>20</v>
      </c>
      <c r="K25" s="33">
        <f t="shared" si="3"/>
        <v>16405.2</v>
      </c>
      <c r="M25" s="14" t="s">
        <v>20</v>
      </c>
      <c r="N25" s="33">
        <f t="shared" si="4"/>
        <v>27342.000000000004</v>
      </c>
    </row>
    <row r="26" spans="2:14" x14ac:dyDescent="0.3">
      <c r="B26" s="14" t="s">
        <v>21</v>
      </c>
      <c r="C26" s="16">
        <f>IF($G$16="Junio",'Multiplicando su Negocio'!$K$20*'Presupuesto Anual Franquicias'!D26/'Presupuesto Anual Franquicias'!$G$10,'Multiplicando su Negocio'!$K$20*'Presupuesto Anual Franquicias'!D26/'Presupuesto Anual Franquicias'!$G$10)</f>
        <v>62496.000000000007</v>
      </c>
      <c r="D26" s="28">
        <f>IF($G$16="Junio",$G$17,G26)</f>
        <v>8</v>
      </c>
      <c r="F26" s="29" t="str">
        <f t="shared" si="2"/>
        <v>Junio</v>
      </c>
      <c r="G26" s="57">
        <v>8</v>
      </c>
      <c r="H26" s="44"/>
      <c r="J26" s="14" t="s">
        <v>21</v>
      </c>
      <c r="K26" s="33">
        <f t="shared" si="3"/>
        <v>18748.800000000003</v>
      </c>
      <c r="M26" s="14" t="s">
        <v>21</v>
      </c>
      <c r="N26" s="33">
        <f t="shared" si="4"/>
        <v>31248.000000000004</v>
      </c>
    </row>
    <row r="27" spans="2:14" x14ac:dyDescent="0.3">
      <c r="B27" s="14" t="s">
        <v>22</v>
      </c>
      <c r="C27" s="16">
        <f>IF($G$16="Julio",'Multiplicando su Negocio'!$K$20*'Presupuesto Anual Franquicias'!D27/'Presupuesto Anual Franquicias'!$G$10,'Multiplicando su Negocio'!$K$20*'Presupuesto Anual Franquicias'!D27/'Presupuesto Anual Franquicias'!$G$10)</f>
        <v>46872.000000000007</v>
      </c>
      <c r="D27" s="28">
        <f>IF($G$16="Julio",$G$17,G27)</f>
        <v>6</v>
      </c>
      <c r="F27" s="29" t="str">
        <f t="shared" si="2"/>
        <v>Julio</v>
      </c>
      <c r="G27" s="57">
        <v>6</v>
      </c>
      <c r="H27" s="44"/>
      <c r="J27" s="14" t="s">
        <v>22</v>
      </c>
      <c r="K27" s="33">
        <f t="shared" si="3"/>
        <v>14061.600000000002</v>
      </c>
      <c r="M27" s="14" t="s">
        <v>22</v>
      </c>
      <c r="N27" s="33">
        <f t="shared" si="4"/>
        <v>23436.000000000004</v>
      </c>
    </row>
    <row r="28" spans="2:14" x14ac:dyDescent="0.3">
      <c r="B28" s="14" t="s">
        <v>23</v>
      </c>
      <c r="C28" s="16">
        <f>IF($G$16="Agosto",'Multiplicando su Negocio'!$K$20*'Presupuesto Anual Franquicias'!D28/'Presupuesto Anual Franquicias'!$G$10,'Multiplicando su Negocio'!$K$20*'Presupuesto Anual Franquicias'!D28/'Presupuesto Anual Franquicias'!$G$10)</f>
        <v>54684.000000000007</v>
      </c>
      <c r="D28" s="28">
        <f>IF($G$16="Agosto",$G$17,G28)</f>
        <v>7</v>
      </c>
      <c r="F28" s="29" t="str">
        <f t="shared" si="2"/>
        <v>Agosto</v>
      </c>
      <c r="G28" s="57">
        <v>7</v>
      </c>
      <c r="H28" s="44"/>
      <c r="J28" s="14" t="s">
        <v>23</v>
      </c>
      <c r="K28" s="33">
        <f t="shared" si="3"/>
        <v>16405.2</v>
      </c>
      <c r="M28" s="14" t="s">
        <v>23</v>
      </c>
      <c r="N28" s="33">
        <f t="shared" si="4"/>
        <v>27342.000000000004</v>
      </c>
    </row>
    <row r="29" spans="2:14" x14ac:dyDescent="0.3">
      <c r="B29" s="14" t="s">
        <v>24</v>
      </c>
      <c r="C29" s="16">
        <f>IF($G$16="Septiembre",'Multiplicando su Negocio'!$K$20*'Presupuesto Anual Franquicias'!D29/'Presupuesto Anual Franquicias'!$G$10,'Multiplicando su Negocio'!$K$20*'Presupuesto Anual Franquicias'!D29/'Presupuesto Anual Franquicias'!$G$10)</f>
        <v>54684.000000000007</v>
      </c>
      <c r="D29" s="28">
        <f>IF($G$16="Septiembre",$G$17,G29)</f>
        <v>7</v>
      </c>
      <c r="F29" s="29" t="str">
        <f t="shared" si="2"/>
        <v>Septiembre</v>
      </c>
      <c r="G29" s="57">
        <v>7</v>
      </c>
      <c r="H29" s="44"/>
      <c r="J29" s="14" t="s">
        <v>24</v>
      </c>
      <c r="K29" s="33">
        <f t="shared" si="3"/>
        <v>16405.2</v>
      </c>
      <c r="M29" s="14" t="s">
        <v>24</v>
      </c>
      <c r="N29" s="33">
        <f t="shared" si="4"/>
        <v>27342.000000000004</v>
      </c>
    </row>
    <row r="30" spans="2:14" ht="14.4" customHeight="1" x14ac:dyDescent="0.3">
      <c r="B30" s="14" t="s">
        <v>25</v>
      </c>
      <c r="C30" s="16">
        <f>IF($G$16="Octubre",'Multiplicando su Negocio'!$K$20*'Presupuesto Anual Franquicias'!D30/'Presupuesto Anual Franquicias'!$G$10,'Multiplicando su Negocio'!$K$20*'Presupuesto Anual Franquicias'!D30/'Presupuesto Anual Franquicias'!$G$10)</f>
        <v>54684.000000000007</v>
      </c>
      <c r="D30" s="28">
        <f>IF($G$16="Octubre",$G$17,G30)</f>
        <v>7</v>
      </c>
      <c r="F30" s="29" t="str">
        <f t="shared" si="2"/>
        <v>Octubre</v>
      </c>
      <c r="G30" s="57">
        <v>7</v>
      </c>
      <c r="H30" s="44"/>
      <c r="J30" s="14" t="s">
        <v>25</v>
      </c>
      <c r="K30" s="33">
        <f t="shared" si="3"/>
        <v>16405.2</v>
      </c>
      <c r="M30" s="14" t="s">
        <v>25</v>
      </c>
      <c r="N30" s="33">
        <f t="shared" si="4"/>
        <v>27342.000000000004</v>
      </c>
    </row>
    <row r="31" spans="2:14" x14ac:dyDescent="0.3">
      <c r="B31" s="14" t="s">
        <v>26</v>
      </c>
      <c r="C31" s="16">
        <f>IF($G$16="Noviembre",'Multiplicando su Negocio'!$K$20*'Presupuesto Anual Franquicias'!D31/'Presupuesto Anual Franquicias'!$G$10,'Multiplicando su Negocio'!$K$20*'Presupuesto Anual Franquicias'!D31/'Presupuesto Anual Franquicias'!$G$10)</f>
        <v>62496.000000000007</v>
      </c>
      <c r="D31" s="28">
        <f>IF($G$16="Noviembre",$G$17,G31)</f>
        <v>8</v>
      </c>
      <c r="F31" s="29" t="str">
        <f t="shared" si="2"/>
        <v>Noviembre</v>
      </c>
      <c r="G31" s="57">
        <v>8</v>
      </c>
      <c r="H31" s="44"/>
      <c r="J31" s="14" t="s">
        <v>26</v>
      </c>
      <c r="K31" s="33">
        <f t="shared" si="3"/>
        <v>18748.800000000003</v>
      </c>
      <c r="M31" s="14" t="s">
        <v>26</v>
      </c>
      <c r="N31" s="33">
        <f t="shared" si="4"/>
        <v>31248.000000000004</v>
      </c>
    </row>
    <row r="32" spans="2:14" x14ac:dyDescent="0.3">
      <c r="B32" s="14" t="s">
        <v>27</v>
      </c>
      <c r="C32" s="16">
        <f>IF($G$16="Diciembre",'Multiplicando su Negocio'!$K$20*'Presupuesto Anual Franquicias'!D32/'Presupuesto Anual Franquicias'!$G$10,'Multiplicando su Negocio'!$K$20*'Presupuesto Anual Franquicias'!D32/'Presupuesto Anual Franquicias'!$G$10)</f>
        <v>78120.000000000015</v>
      </c>
      <c r="D32" s="28">
        <f>IF($G$16="Diciembre",$G$17,G32)</f>
        <v>10</v>
      </c>
      <c r="F32" s="29" t="str">
        <f t="shared" si="2"/>
        <v>Diciembre</v>
      </c>
      <c r="G32" s="57">
        <v>10</v>
      </c>
      <c r="H32" s="44"/>
      <c r="J32" s="14" t="s">
        <v>27</v>
      </c>
      <c r="K32" s="33">
        <f t="shared" si="3"/>
        <v>23436.000000000004</v>
      </c>
      <c r="M32" s="14" t="s">
        <v>27</v>
      </c>
      <c r="N32" s="33">
        <f t="shared" si="4"/>
        <v>39060.000000000007</v>
      </c>
    </row>
    <row r="33" spans="2:14" x14ac:dyDescent="0.3">
      <c r="B33" s="17" t="s">
        <v>28</v>
      </c>
      <c r="C33" s="19">
        <f>SUM(C21:C32)</f>
        <v>687456.00000000012</v>
      </c>
      <c r="D33" s="20">
        <v>1</v>
      </c>
      <c r="J33" s="17" t="s">
        <v>28</v>
      </c>
      <c r="K33" s="18">
        <f>SUM(K21:K32)</f>
        <v>206236.80000000005</v>
      </c>
      <c r="M33" s="17" t="s">
        <v>28</v>
      </c>
      <c r="N33" s="18">
        <f>SUM(N21:N32)</f>
        <v>343728.00000000006</v>
      </c>
    </row>
  </sheetData>
  <sheetProtection algorithmName="SHA-512" hashValue="hV5hWw6ej2CNxikJextgmW+cYv+qjoUk/KLvk87aE2m6U2ysP04M3CPZOicMrvE0i2sElJFXXkqJ5u5GEcN2zA==" saltValue="/MqlyZhSdqZgq8bj9XYafw==" spinCount="100000" sheet="1" objects="1" scenarios="1" selectLockedCells="1"/>
  <mergeCells count="5">
    <mergeCell ref="J20:K20"/>
    <mergeCell ref="M20:N20"/>
    <mergeCell ref="B20:D20"/>
    <mergeCell ref="I11:O11"/>
    <mergeCell ref="I3:O3"/>
  </mergeCells>
  <dataValidations count="4">
    <dataValidation type="list" allowBlank="1" showInputMessage="1" showErrorMessage="1" sqref="G16:H16" xr:uid="{00000000-0002-0000-0200-000000000000}">
      <formula1>$B$21:$B$32</formula1>
    </dataValidation>
    <dataValidation type="list" allowBlank="1" showInputMessage="1" showErrorMessage="1" sqref="G17:H17 G21:H32 G10:H10" xr:uid="{00000000-0002-0000-0200-000001000000}">
      <formula1>"1,2,3,4,5,6,7,8,9,10"</formula1>
    </dataValidation>
    <dataValidation type="list" allowBlank="1" showInputMessage="1" showErrorMessage="1" sqref="G11:H11" xr:uid="{00000000-0002-0000-0200-000002000000}">
      <formula1>"Ventas Bajas, Ventas Medias, Ventas Altas"</formula1>
    </dataValidation>
    <dataValidation type="list" allowBlank="1" showInputMessage="1" showErrorMessage="1" sqref="G9:H9" xr:uid="{00000000-0002-0000-0200-000003000000}">
      <formula1>$F$21:$F$32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34"/>
  <sheetViews>
    <sheetView showGridLines="0" showRowColHeaders="0" zoomScaleNormal="100" workbookViewId="0">
      <selection activeCell="B1" sqref="B1:Q1"/>
    </sheetView>
  </sheetViews>
  <sheetFormatPr baseColWidth="10" defaultRowHeight="14.4" x14ac:dyDescent="0.3"/>
  <cols>
    <col min="1" max="1" width="6.44140625" customWidth="1"/>
    <col min="2" max="2" width="7.44140625" customWidth="1"/>
    <col min="4" max="4" width="12.109375" bestFit="1" customWidth="1"/>
    <col min="5" max="6" width="6.44140625" customWidth="1"/>
    <col min="7" max="7" width="3.44140625" style="34" customWidth="1"/>
    <col min="8" max="8" width="29.109375" customWidth="1"/>
    <col min="9" max="13" width="13.77734375" customWidth="1"/>
    <col min="14" max="14" width="13.77734375" hidden="1" customWidth="1"/>
    <col min="15" max="17" width="13.77734375" customWidth="1"/>
  </cols>
  <sheetData>
    <row r="1" spans="2:17" ht="25.8" x14ac:dyDescent="0.5">
      <c r="B1" s="133" t="str">
        <f>IF(Q7="SI","SU NEGOCIO PUEDE SER FRANQUICIADO","SU NEGOCIO NO PUEDE SER FRANQUICIADO")</f>
        <v>SU NEGOCIO PUEDE SER FRANQUICIADO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2:17" ht="7.8" customHeight="1" x14ac:dyDescent="0.3"/>
    <row r="3" spans="2:17" ht="21" x14ac:dyDescent="0.4">
      <c r="B3" s="45">
        <v>1</v>
      </c>
      <c r="C3" s="24" t="s">
        <v>94</v>
      </c>
      <c r="I3" s="45">
        <v>2</v>
      </c>
      <c r="J3" s="24" t="s">
        <v>95</v>
      </c>
      <c r="O3" s="24" t="s">
        <v>108</v>
      </c>
      <c r="P3" s="24"/>
      <c r="Q3" s="24"/>
    </row>
    <row r="4" spans="2:17" x14ac:dyDescent="0.3">
      <c r="B4" s="23" t="s">
        <v>139</v>
      </c>
      <c r="I4" s="23" t="s">
        <v>116</v>
      </c>
      <c r="O4" s="63" t="str">
        <f>IF((L21/L17)&gt;15%,"Su negocio SI PUEDE SER FRANQUICIABLE.","Su negocio NO PUEDE SER FRANQUICIABLE.")</f>
        <v>Su negocio SI PUEDE SER FRANQUICIABLE.</v>
      </c>
    </row>
    <row r="5" spans="2:17" x14ac:dyDescent="0.3">
      <c r="I5" s="23" t="s">
        <v>118</v>
      </c>
      <c r="O5" s="63" t="str">
        <f>IF((L21/L17)&gt;15%,"Ventajas competitivas a multiplicar:","Lo que debemos analizar:")</f>
        <v>Ventajas competitivas a multiplicar:</v>
      </c>
    </row>
    <row r="6" spans="2:17" ht="15.6" x14ac:dyDescent="0.3">
      <c r="C6" s="134" t="s">
        <v>11</v>
      </c>
      <c r="D6" s="135"/>
      <c r="E6" s="135"/>
      <c r="F6" s="136"/>
      <c r="G6" s="79"/>
      <c r="I6" s="23" t="s">
        <v>117</v>
      </c>
    </row>
    <row r="7" spans="2:17" x14ac:dyDescent="0.3">
      <c r="C7" s="14" t="s">
        <v>13</v>
      </c>
      <c r="D7" s="16">
        <f>'Presupuesto Anual Franquicias'!C21</f>
        <v>70308.000000000015</v>
      </c>
      <c r="E7" s="15">
        <f>'Presupuesto Anual Franquicias'!D21</f>
        <v>9</v>
      </c>
      <c r="F7" s="128" t="s">
        <v>14</v>
      </c>
      <c r="G7" s="80"/>
      <c r="O7" s="64"/>
      <c r="P7" s="65" t="s">
        <v>119</v>
      </c>
      <c r="Q7" s="75" t="str">
        <f>IF((L21/L17)&gt;15%,"SI","NO")</f>
        <v>SI</v>
      </c>
    </row>
    <row r="8" spans="2:17" x14ac:dyDescent="0.3">
      <c r="C8" s="14" t="s">
        <v>16</v>
      </c>
      <c r="D8" s="16">
        <f>'Presupuesto Anual Franquicias'!C22</f>
        <v>39060.000000000007</v>
      </c>
      <c r="E8" s="15">
        <f>'Presupuesto Anual Franquicias'!D22</f>
        <v>5</v>
      </c>
      <c r="F8" s="128"/>
      <c r="G8" s="80"/>
      <c r="J8" s="130" t="s">
        <v>8</v>
      </c>
      <c r="K8" s="131"/>
      <c r="L8" s="132"/>
      <c r="O8" s="66"/>
      <c r="P8" s="67" t="s">
        <v>100</v>
      </c>
      <c r="Q8" s="68">
        <f>J30</f>
        <v>2.5476649065096959</v>
      </c>
    </row>
    <row r="9" spans="2:17" x14ac:dyDescent="0.3">
      <c r="C9" s="14" t="s">
        <v>17</v>
      </c>
      <c r="D9" s="16">
        <f>'Presupuesto Anual Franquicias'!C23</f>
        <v>54684.000000000007</v>
      </c>
      <c r="E9" s="15">
        <f>'Presupuesto Anual Franquicias'!D23</f>
        <v>7</v>
      </c>
      <c r="F9" s="128"/>
      <c r="G9" s="80"/>
      <c r="J9" s="7" t="s">
        <v>0</v>
      </c>
      <c r="K9" s="8" t="s">
        <v>1</v>
      </c>
      <c r="L9" s="9" t="s">
        <v>2</v>
      </c>
      <c r="O9" s="66"/>
      <c r="P9" s="67" t="s">
        <v>101</v>
      </c>
      <c r="Q9" s="68">
        <f>J31</f>
        <v>11.250000000000002</v>
      </c>
    </row>
    <row r="10" spans="2:17" x14ac:dyDescent="0.3">
      <c r="C10" s="14" t="s">
        <v>19</v>
      </c>
      <c r="D10" s="16">
        <f>'Presupuesto Anual Franquicias'!C24</f>
        <v>54684.000000000007</v>
      </c>
      <c r="E10" s="15">
        <f>'Presupuesto Anual Franquicias'!D24</f>
        <v>7</v>
      </c>
      <c r="F10" s="128"/>
      <c r="G10" s="80"/>
      <c r="J10" s="54">
        <f>'Multiplicando su Negocio'!D19</f>
        <v>0.45</v>
      </c>
      <c r="K10" s="10">
        <f>+J10+$K$11</f>
        <v>0.55000000000000004</v>
      </c>
      <c r="L10" s="11">
        <f>+K10+$K$11</f>
        <v>0.65</v>
      </c>
      <c r="O10" s="66"/>
      <c r="P10" s="67" t="s">
        <v>102</v>
      </c>
      <c r="Q10" s="68">
        <f>J34</f>
        <v>20.000000000000004</v>
      </c>
    </row>
    <row r="11" spans="2:17" x14ac:dyDescent="0.3">
      <c r="C11" s="14" t="s">
        <v>20</v>
      </c>
      <c r="D11" s="16">
        <f>'Presupuesto Anual Franquicias'!C25</f>
        <v>54684.000000000007</v>
      </c>
      <c r="E11" s="15">
        <f>'Presupuesto Anual Franquicias'!D25</f>
        <v>7</v>
      </c>
      <c r="F11" s="128"/>
      <c r="G11" s="80"/>
      <c r="J11" s="12" t="s">
        <v>9</v>
      </c>
      <c r="K11" s="62">
        <v>0.1</v>
      </c>
      <c r="L11" s="13"/>
      <c r="O11" s="66"/>
      <c r="P11" s="67" t="s">
        <v>104</v>
      </c>
      <c r="Q11" s="33">
        <f>J20</f>
        <v>203.43750000000006</v>
      </c>
    </row>
    <row r="12" spans="2:17" x14ac:dyDescent="0.3">
      <c r="C12" s="14" t="s">
        <v>21</v>
      </c>
      <c r="D12" s="16">
        <f>'Presupuesto Anual Franquicias'!C26</f>
        <v>62496.000000000007</v>
      </c>
      <c r="E12" s="15">
        <f>'Presupuesto Anual Franquicias'!D26</f>
        <v>8</v>
      </c>
      <c r="F12" s="128"/>
      <c r="G12" s="80"/>
      <c r="O12" s="66"/>
      <c r="P12" s="67" t="s">
        <v>103</v>
      </c>
      <c r="Q12" s="68">
        <f>J26</f>
        <v>5.3536184210526327</v>
      </c>
    </row>
    <row r="13" spans="2:17" x14ac:dyDescent="0.3">
      <c r="C13" s="14" t="s">
        <v>22</v>
      </c>
      <c r="D13" s="16">
        <f>'Presupuesto Anual Franquicias'!C27</f>
        <v>46872.000000000007</v>
      </c>
      <c r="E13" s="15">
        <f>'Presupuesto Anual Franquicias'!D27</f>
        <v>6</v>
      </c>
      <c r="F13" s="128"/>
      <c r="G13" s="80"/>
      <c r="I13" s="23" t="str">
        <f>IF(Q7="SI","Su negocio puede ser multiplicado con eficiencia por los siguientes parámetros:","Su negocio NO puede ser multiplicado por los siguientes parámetros:")</f>
        <v>Su negocio puede ser multiplicado con eficiencia por los siguientes parámetros:</v>
      </c>
      <c r="O13" s="66"/>
      <c r="P13" s="67" t="s">
        <v>105</v>
      </c>
      <c r="Q13" s="33">
        <f>Q11*E34</f>
        <v>40.687500000000021</v>
      </c>
    </row>
    <row r="14" spans="2:17" ht="18" x14ac:dyDescent="0.35">
      <c r="C14" s="14" t="s">
        <v>23</v>
      </c>
      <c r="D14" s="16">
        <f>'Presupuesto Anual Franquicias'!C28</f>
        <v>54684.000000000007</v>
      </c>
      <c r="E14" s="15">
        <f>'Presupuesto Anual Franquicias'!D28</f>
        <v>7</v>
      </c>
      <c r="F14" s="128"/>
      <c r="G14" s="80"/>
      <c r="J14" s="129" t="s">
        <v>80</v>
      </c>
      <c r="K14" s="129"/>
      <c r="L14" s="129"/>
      <c r="O14" s="66"/>
      <c r="P14" s="67" t="s">
        <v>106</v>
      </c>
      <c r="Q14" s="69">
        <f>Q13/Q11</f>
        <v>0.20000000000000004</v>
      </c>
    </row>
    <row r="15" spans="2:17" x14ac:dyDescent="0.3">
      <c r="C15" s="14" t="s">
        <v>24</v>
      </c>
      <c r="D15" s="16">
        <f>'Presupuesto Anual Franquicias'!C29</f>
        <v>54684.000000000007</v>
      </c>
      <c r="E15" s="15">
        <f>'Presupuesto Anual Franquicias'!D29</f>
        <v>7</v>
      </c>
      <c r="F15" s="128"/>
      <c r="G15" s="80"/>
      <c r="J15" s="137" t="s">
        <v>140</v>
      </c>
      <c r="K15" s="137"/>
      <c r="L15" s="137"/>
      <c r="O15" s="66"/>
      <c r="P15" s="67" t="s">
        <v>107</v>
      </c>
      <c r="Q15" s="70">
        <v>0.17499999999999999</v>
      </c>
    </row>
    <row r="16" spans="2:17" x14ac:dyDescent="0.3">
      <c r="C16" s="14" t="s">
        <v>25</v>
      </c>
      <c r="D16" s="16">
        <f>'Presupuesto Anual Franquicias'!C30</f>
        <v>54684.000000000007</v>
      </c>
      <c r="E16" s="15">
        <f>'Presupuesto Anual Franquicias'!D30</f>
        <v>7</v>
      </c>
      <c r="F16" s="128"/>
      <c r="G16" s="80"/>
      <c r="J16" s="1" t="s">
        <v>0</v>
      </c>
      <c r="K16" s="2" t="s">
        <v>1</v>
      </c>
      <c r="L16" s="3" t="s">
        <v>2</v>
      </c>
      <c r="N16" s="2" t="s">
        <v>132</v>
      </c>
      <c r="O16" s="71"/>
      <c r="P16" s="72" t="str">
        <f>IF(Q14&gt;Q15,"Por arriba de la Industria:","Por debajo de la Industria:")</f>
        <v>Por arriba de la Industria:</v>
      </c>
      <c r="Q16" s="76">
        <f>Q14-Q15</f>
        <v>2.500000000000005E-2</v>
      </c>
    </row>
    <row r="17" spans="3:17" x14ac:dyDescent="0.3">
      <c r="C17" s="14" t="s">
        <v>26</v>
      </c>
      <c r="D17" s="16">
        <f>'Presupuesto Anual Franquicias'!C31</f>
        <v>62496.000000000007</v>
      </c>
      <c r="E17" s="15">
        <f>'Presupuesto Anual Franquicias'!D31</f>
        <v>8</v>
      </c>
      <c r="F17" s="128"/>
      <c r="G17" s="80"/>
      <c r="H17" s="93"/>
      <c r="I17" s="94" t="s">
        <v>96</v>
      </c>
      <c r="J17" s="95">
        <f>MIN('Presupuesto Anual Franquicias'!$C$21:$C$32)</f>
        <v>39060.000000000007</v>
      </c>
      <c r="K17" s="95">
        <f>AVERAGE(J17,L17)</f>
        <v>58590.000000000015</v>
      </c>
      <c r="L17" s="95">
        <f>MAX('Presupuesto Anual Franquicias'!$C$21:$C$32)</f>
        <v>78120.000000000015</v>
      </c>
      <c r="N17" s="5">
        <f>N18*'Multiplicando su Negocio'!D28</f>
        <v>39060.000000000015</v>
      </c>
    </row>
    <row r="18" spans="3:17" ht="21" x14ac:dyDescent="0.4">
      <c r="C18" s="96" t="s">
        <v>27</v>
      </c>
      <c r="D18" s="97">
        <f>'Presupuesto Anual Franquicias'!C32</f>
        <v>78120.000000000015</v>
      </c>
      <c r="E18" s="98">
        <f>'Presupuesto Anual Franquicias'!D32</f>
        <v>10</v>
      </c>
      <c r="F18" s="128"/>
      <c r="G18" s="80"/>
      <c r="H18" s="93"/>
      <c r="I18" s="94" t="s">
        <v>97</v>
      </c>
      <c r="J18" s="95">
        <f>J19*'Multiplicando su Negocio'!$D$26</f>
        <v>9765.0000000000036</v>
      </c>
      <c r="K18" s="95">
        <f>K19*'Multiplicando su Negocio'!$D$26</f>
        <v>14647.500000000005</v>
      </c>
      <c r="L18" s="95">
        <f>L19*'Multiplicando su Negocio'!$D$26</f>
        <v>19530.000000000007</v>
      </c>
      <c r="N18" s="5">
        <f>N19*'Multiplicando su Negocio'!D26</f>
        <v>9765.0000000000036</v>
      </c>
      <c r="O18" s="24" t="s">
        <v>115</v>
      </c>
      <c r="P18" s="24"/>
      <c r="Q18" s="24"/>
    </row>
    <row r="19" spans="3:17" x14ac:dyDescent="0.3">
      <c r="C19" s="17" t="s">
        <v>28</v>
      </c>
      <c r="D19" s="19">
        <f>SUM(D7:D18)</f>
        <v>687456.00000000012</v>
      </c>
      <c r="E19" s="20">
        <v>1</v>
      </c>
      <c r="F19" s="53"/>
      <c r="G19" s="81"/>
      <c r="H19" s="93"/>
      <c r="I19" s="94" t="s">
        <v>98</v>
      </c>
      <c r="J19" s="95">
        <f>J20*'Multiplicando su Negocio'!$D$27</f>
        <v>1627.5000000000005</v>
      </c>
      <c r="K19" s="95">
        <f>K20*'Multiplicando su Negocio'!$D$27</f>
        <v>2441.2500000000009</v>
      </c>
      <c r="L19" s="95">
        <f>L20*'Multiplicando su Negocio'!$D$27</f>
        <v>3255.0000000000009</v>
      </c>
      <c r="N19" s="5">
        <f>J20*'Multiplicando su Negocio'!D27</f>
        <v>1627.5000000000005</v>
      </c>
      <c r="O19" s="23" t="s">
        <v>120</v>
      </c>
      <c r="P19" s="63"/>
    </row>
    <row r="20" spans="3:17" x14ac:dyDescent="0.3">
      <c r="H20" s="93"/>
      <c r="I20" s="94" t="s">
        <v>99</v>
      </c>
      <c r="J20" s="95">
        <f>J22*J26</f>
        <v>203.43750000000006</v>
      </c>
      <c r="K20" s="95">
        <f>K22*K26</f>
        <v>305.15625000000011</v>
      </c>
      <c r="L20" s="95">
        <f>L22*L26</f>
        <v>406.87500000000011</v>
      </c>
      <c r="N20" s="5">
        <f>N19/'Multiplicando su Negocio'!D27</f>
        <v>203.43750000000006</v>
      </c>
      <c r="O20" s="23" t="s">
        <v>121</v>
      </c>
    </row>
    <row r="21" spans="3:17" ht="15.6" x14ac:dyDescent="0.3">
      <c r="C21" s="134" t="s">
        <v>12</v>
      </c>
      <c r="D21" s="135"/>
      <c r="E21" s="135"/>
      <c r="F21" s="136"/>
      <c r="G21" s="79"/>
      <c r="H21" s="85"/>
      <c r="I21" s="84" t="s">
        <v>4</v>
      </c>
      <c r="J21" s="86">
        <f>+J17*'Presupuesto Anual Franquicias'!$P$10</f>
        <v>7812.0000000000027</v>
      </c>
      <c r="K21" s="86">
        <f>+K17*'Presupuesto Anual Franquicias'!$P$10</f>
        <v>11718.000000000005</v>
      </c>
      <c r="L21" s="86">
        <f>+L17*'Presupuesto Anual Franquicias'!$P$10</f>
        <v>15624.000000000005</v>
      </c>
      <c r="O21" s="64"/>
      <c r="P21" s="65" t="s">
        <v>113</v>
      </c>
      <c r="Q21" s="73">
        <v>0.55000000000000004</v>
      </c>
    </row>
    <row r="22" spans="3:17" ht="14.4" customHeight="1" x14ac:dyDescent="0.3">
      <c r="C22" s="14" t="s">
        <v>13</v>
      </c>
      <c r="D22" s="16">
        <f>D7*$E$34</f>
        <v>14061.600000000006</v>
      </c>
      <c r="E22" s="15">
        <f t="shared" ref="E22:E33" si="0">E7</f>
        <v>9</v>
      </c>
      <c r="F22" s="128" t="s">
        <v>15</v>
      </c>
      <c r="G22" s="80"/>
      <c r="H22" s="85"/>
      <c r="I22" s="84" t="s">
        <v>6</v>
      </c>
      <c r="J22" s="86">
        <f>'Multiplicando su Negocio'!$D$10</f>
        <v>38</v>
      </c>
      <c r="K22" s="86">
        <f>+J22</f>
        <v>38</v>
      </c>
      <c r="L22" s="86">
        <f>+K22</f>
        <v>38</v>
      </c>
      <c r="O22" s="66"/>
      <c r="P22" s="67" t="s">
        <v>109</v>
      </c>
      <c r="Q22" s="33">
        <f>J17*Q21</f>
        <v>21483.000000000007</v>
      </c>
    </row>
    <row r="23" spans="3:17" x14ac:dyDescent="0.3">
      <c r="C23" s="14" t="s">
        <v>16</v>
      </c>
      <c r="D23" s="16">
        <f t="shared" ref="D23:D33" si="1">D8*$E$34</f>
        <v>7812.0000000000027</v>
      </c>
      <c r="E23" s="15">
        <f t="shared" si="0"/>
        <v>5</v>
      </c>
      <c r="F23" s="128"/>
      <c r="G23" s="80"/>
      <c r="H23" s="77"/>
      <c r="I23" s="78" t="s">
        <v>122</v>
      </c>
      <c r="J23" s="82">
        <f>J17/J22</f>
        <v>1027.8947368421054</v>
      </c>
      <c r="K23" s="82">
        <f>K17/K22</f>
        <v>1541.8421052631584</v>
      </c>
      <c r="L23" s="82">
        <f>L17/L22</f>
        <v>2055.7894736842109</v>
      </c>
      <c r="N23" s="5"/>
      <c r="O23" s="66"/>
      <c r="P23" s="67" t="s">
        <v>111</v>
      </c>
      <c r="Q23" s="11">
        <v>0.05</v>
      </c>
    </row>
    <row r="24" spans="3:17" x14ac:dyDescent="0.3">
      <c r="C24" s="14" t="s">
        <v>17</v>
      </c>
      <c r="D24" s="16">
        <f t="shared" si="1"/>
        <v>10936.800000000003</v>
      </c>
      <c r="E24" s="15">
        <f t="shared" si="0"/>
        <v>7</v>
      </c>
      <c r="F24" s="128"/>
      <c r="G24" s="80"/>
      <c r="H24" s="77"/>
      <c r="I24" s="78" t="s">
        <v>123</v>
      </c>
      <c r="J24" s="82">
        <f>J23/'Multiplicando su Negocio'!$D$28</f>
        <v>256.97368421052636</v>
      </c>
      <c r="K24" s="82">
        <f>K23/'Multiplicando su Negocio'!$D$28</f>
        <v>385.46052631578959</v>
      </c>
      <c r="L24" s="82">
        <f>L23/'Multiplicando su Negocio'!$D$28</f>
        <v>513.94736842105272</v>
      </c>
      <c r="N24" s="5">
        <f>J23*$J$22</f>
        <v>39060.000000000007</v>
      </c>
      <c r="O24" s="66"/>
      <c r="P24" s="67" t="s">
        <v>110</v>
      </c>
      <c r="Q24" s="33">
        <f>Q22*Q23</f>
        <v>1074.1500000000003</v>
      </c>
    </row>
    <row r="25" spans="3:17" x14ac:dyDescent="0.3">
      <c r="C25" s="14" t="s">
        <v>19</v>
      </c>
      <c r="D25" s="16">
        <f t="shared" si="1"/>
        <v>10936.800000000003</v>
      </c>
      <c r="E25" s="15">
        <f t="shared" si="0"/>
        <v>7</v>
      </c>
      <c r="F25" s="128"/>
      <c r="G25" s="80"/>
      <c r="H25" s="77"/>
      <c r="I25" s="78" t="s">
        <v>124</v>
      </c>
      <c r="J25" s="82">
        <f>J24/'Multiplicando su Negocio'!$D$26</f>
        <v>42.828947368421062</v>
      </c>
      <c r="K25" s="82">
        <f>K24/'Multiplicando su Negocio'!$D$26</f>
        <v>64.243421052631604</v>
      </c>
      <c r="L25" s="82">
        <f>L24/'Multiplicando su Negocio'!$D$26</f>
        <v>85.657894736842124</v>
      </c>
      <c r="N25" s="5">
        <f>J24*$J$22</f>
        <v>9765.0000000000018</v>
      </c>
      <c r="O25" s="66"/>
      <c r="P25" s="67" t="s">
        <v>112</v>
      </c>
      <c r="Q25" s="68">
        <v>15</v>
      </c>
    </row>
    <row r="26" spans="3:17" x14ac:dyDescent="0.3">
      <c r="C26" s="14" t="s">
        <v>20</v>
      </c>
      <c r="D26" s="16">
        <f t="shared" si="1"/>
        <v>10936.800000000003</v>
      </c>
      <c r="E26" s="15">
        <f t="shared" si="0"/>
        <v>7</v>
      </c>
      <c r="F26" s="128"/>
      <c r="G26" s="80"/>
      <c r="H26" s="77"/>
      <c r="I26" s="78" t="s">
        <v>125</v>
      </c>
      <c r="J26" s="82">
        <f>J25/'Multiplicando su Negocio'!$D$27</f>
        <v>5.3536184210526327</v>
      </c>
      <c r="K26" s="82">
        <f>K25/'Multiplicando su Negocio'!$D$27</f>
        <v>8.0304276315789505</v>
      </c>
      <c r="L26" s="82">
        <f>L25/'Multiplicando su Negocio'!$D$27</f>
        <v>10.707236842105265</v>
      </c>
      <c r="N26" s="5">
        <f>J25*$J$22</f>
        <v>1627.5000000000005</v>
      </c>
      <c r="O26" s="71"/>
      <c r="P26" s="72" t="s">
        <v>114</v>
      </c>
      <c r="Q26" s="74">
        <f>Q24*Q25</f>
        <v>16112.250000000005</v>
      </c>
    </row>
    <row r="27" spans="3:17" x14ac:dyDescent="0.3">
      <c r="C27" s="14" t="s">
        <v>21</v>
      </c>
      <c r="D27" s="16">
        <f t="shared" si="1"/>
        <v>12499.200000000004</v>
      </c>
      <c r="E27" s="15">
        <f t="shared" si="0"/>
        <v>8</v>
      </c>
      <c r="F27" s="128"/>
      <c r="G27" s="80"/>
      <c r="H27" s="88"/>
      <c r="I27" s="87" t="s">
        <v>127</v>
      </c>
      <c r="J27" s="89">
        <f>J28*'Multiplicando su Negocio'!$D$28</f>
        <v>489.15166204986161</v>
      </c>
      <c r="K27" s="89">
        <f>K28*'Multiplicando su Negocio'!$D$28</f>
        <v>733.72749307479262</v>
      </c>
      <c r="L27" s="89">
        <f>L28*'Multiplicando su Negocio'!$D$28</f>
        <v>978.30332409972323</v>
      </c>
      <c r="N27" s="5">
        <f>J26*$J$22</f>
        <v>203.43750000000006</v>
      </c>
    </row>
    <row r="28" spans="3:17" x14ac:dyDescent="0.3">
      <c r="C28" s="14" t="s">
        <v>22</v>
      </c>
      <c r="D28" s="16">
        <f t="shared" si="1"/>
        <v>9374.4000000000033</v>
      </c>
      <c r="E28" s="15">
        <f t="shared" si="0"/>
        <v>6</v>
      </c>
      <c r="F28" s="128"/>
      <c r="G28" s="80"/>
      <c r="H28" s="88"/>
      <c r="I28" s="87" t="s">
        <v>128</v>
      </c>
      <c r="J28" s="89">
        <f>J29*'Multiplicando su Negocio'!$D$26</f>
        <v>122.2879155124654</v>
      </c>
      <c r="K28" s="89">
        <f>K29*'Multiplicando su Negocio'!$D$26</f>
        <v>183.43187326869815</v>
      </c>
      <c r="L28" s="89">
        <f>L29*'Multiplicando su Negocio'!$D$26</f>
        <v>244.57583102493081</v>
      </c>
      <c r="N28" s="5">
        <f>(J27*$J$22)*'Multiplicando su Negocio'!$D$29</f>
        <v>39060</v>
      </c>
    </row>
    <row r="29" spans="3:17" x14ac:dyDescent="0.3">
      <c r="C29" s="14" t="s">
        <v>23</v>
      </c>
      <c r="D29" s="16">
        <f t="shared" si="1"/>
        <v>10936.800000000003</v>
      </c>
      <c r="E29" s="15">
        <f t="shared" si="0"/>
        <v>7</v>
      </c>
      <c r="F29" s="128"/>
      <c r="G29" s="80"/>
      <c r="H29" s="88"/>
      <c r="I29" s="87" t="s">
        <v>129</v>
      </c>
      <c r="J29" s="89">
        <f>J30*'Multiplicando su Negocio'!$D$27</f>
        <v>20.381319252077567</v>
      </c>
      <c r="K29" s="89">
        <f>K30*'Multiplicando su Negocio'!$D$27</f>
        <v>30.571978878116358</v>
      </c>
      <c r="L29" s="89">
        <f>L30*'Multiplicando su Negocio'!$D$27</f>
        <v>40.762638504155134</v>
      </c>
      <c r="N29" s="5">
        <f>(J28*$J$22)*'Multiplicando su Negocio'!$D$29</f>
        <v>9765</v>
      </c>
    </row>
    <row r="30" spans="3:17" x14ac:dyDescent="0.3">
      <c r="C30" s="14" t="s">
        <v>24</v>
      </c>
      <c r="D30" s="16">
        <f t="shared" si="1"/>
        <v>10936.800000000003</v>
      </c>
      <c r="E30" s="15">
        <f t="shared" si="0"/>
        <v>7</v>
      </c>
      <c r="F30" s="128"/>
      <c r="G30" s="80"/>
      <c r="H30" s="88"/>
      <c r="I30" s="87" t="s">
        <v>130</v>
      </c>
      <c r="J30" s="89">
        <f>J26/'Multiplicando su Negocio'!$D$29</f>
        <v>2.5476649065096959</v>
      </c>
      <c r="K30" s="89">
        <f>K26/'Multiplicando su Negocio'!$D$29</f>
        <v>3.8214973597645447</v>
      </c>
      <c r="L30" s="89">
        <f>L26/'Multiplicando su Negocio'!$D$29</f>
        <v>5.0953298130193918</v>
      </c>
      <c r="N30" s="5">
        <f>(J29*$J$22)*'Multiplicando su Negocio'!$D$29</f>
        <v>1627.5000000000002</v>
      </c>
    </row>
    <row r="31" spans="3:17" x14ac:dyDescent="0.3">
      <c r="C31" s="14" t="s">
        <v>25</v>
      </c>
      <c r="D31" s="16">
        <f t="shared" si="1"/>
        <v>10936.800000000003</v>
      </c>
      <c r="E31" s="15">
        <f t="shared" si="0"/>
        <v>7</v>
      </c>
      <c r="F31" s="128"/>
      <c r="G31" s="80"/>
      <c r="H31" s="91"/>
      <c r="I31" s="83" t="s">
        <v>126</v>
      </c>
      <c r="J31" s="90">
        <f>J26*'Multiplicando su Negocio'!$D$29</f>
        <v>11.250000000000002</v>
      </c>
      <c r="K31" s="90">
        <f>K26*'Multiplicando su Negocio'!$D$29</f>
        <v>16.875000000000004</v>
      </c>
      <c r="L31" s="90">
        <f>L26*'Multiplicando su Negocio'!$D$29</f>
        <v>22.500000000000004</v>
      </c>
      <c r="N31" s="5">
        <f>(J30*$J$22)*'Multiplicando su Negocio'!$D$29</f>
        <v>203.43750000000003</v>
      </c>
    </row>
    <row r="32" spans="3:17" x14ac:dyDescent="0.3">
      <c r="C32" s="14" t="s">
        <v>26</v>
      </c>
      <c r="D32" s="16">
        <f t="shared" si="1"/>
        <v>12499.200000000004</v>
      </c>
      <c r="E32" s="15">
        <f t="shared" si="0"/>
        <v>8</v>
      </c>
      <c r="F32" s="128"/>
      <c r="G32" s="80"/>
      <c r="H32" s="91"/>
      <c r="I32" s="83" t="s">
        <v>131</v>
      </c>
      <c r="J32" s="92">
        <f>J31*'Multiplicando su Negocio'!$D$27</f>
        <v>90.000000000000014</v>
      </c>
      <c r="K32" s="92">
        <f>K31*'Multiplicando su Negocio'!$D$27</f>
        <v>135.00000000000003</v>
      </c>
      <c r="L32" s="92">
        <f>L31*'Multiplicando su Negocio'!$D$27</f>
        <v>180.00000000000003</v>
      </c>
    </row>
    <row r="33" spans="3:12" x14ac:dyDescent="0.3">
      <c r="C33" s="14" t="s">
        <v>27</v>
      </c>
      <c r="D33" s="16">
        <f t="shared" si="1"/>
        <v>15624.000000000005</v>
      </c>
      <c r="E33" s="15">
        <f t="shared" si="0"/>
        <v>10</v>
      </c>
      <c r="F33" s="128"/>
      <c r="G33" s="80"/>
      <c r="H33" s="91"/>
      <c r="I33" s="83" t="s">
        <v>10</v>
      </c>
      <c r="J33" s="92">
        <f>'Multiplicando su Negocio'!$D$16*J10</f>
        <v>4.5</v>
      </c>
      <c r="K33" s="92">
        <f>'Multiplicando su Negocio'!$D$16*K10</f>
        <v>5.5</v>
      </c>
      <c r="L33" s="92">
        <f>'Multiplicando su Negocio'!$D$16*L10</f>
        <v>6.5</v>
      </c>
    </row>
    <row r="34" spans="3:12" x14ac:dyDescent="0.3">
      <c r="C34" s="17" t="s">
        <v>28</v>
      </c>
      <c r="D34" s="19">
        <f>SUM(D22:D33)</f>
        <v>137491.20000000004</v>
      </c>
      <c r="E34" s="20">
        <f>'Presupuesto Anual Franquicias'!P10</f>
        <v>0.20000000000000004</v>
      </c>
      <c r="F34" s="53"/>
      <c r="G34" s="81"/>
      <c r="H34" s="91"/>
      <c r="I34" s="83" t="s">
        <v>92</v>
      </c>
      <c r="J34" s="92">
        <f>J32/J33</f>
        <v>20.000000000000004</v>
      </c>
      <c r="K34" s="92">
        <f t="shared" ref="K34:L34" si="2">K32/K33</f>
        <v>24.54545454545455</v>
      </c>
      <c r="L34" s="92">
        <f t="shared" si="2"/>
        <v>27.692307692307697</v>
      </c>
    </row>
  </sheetData>
  <sheetProtection selectLockedCells="1"/>
  <mergeCells count="8">
    <mergeCell ref="F22:F33"/>
    <mergeCell ref="J14:L14"/>
    <mergeCell ref="J8:L8"/>
    <mergeCell ref="B1:Q1"/>
    <mergeCell ref="C6:F6"/>
    <mergeCell ref="C21:F21"/>
    <mergeCell ref="J15:L15"/>
    <mergeCell ref="F7:F18"/>
  </mergeCells>
  <conditionalFormatting sqref="B1:Q1">
    <cfRule type="containsText" dxfId="1" priority="1" operator="containsText" text="SU NEGOCIO NO PUEDE SER FRANQUICIADO">
      <formula>NOT(ISERROR(SEARCH("SU NEGOCIO NO PUEDE SER FRANQUICIADO",B1)))</formula>
    </cfRule>
    <cfRule type="containsText" dxfId="0" priority="2" operator="containsText" text="SU NEGOCIO PUEDE SER FRANQUICIADO">
      <formula>NOT(ISERROR(SEARCH("SU NEGOCIO PUEDE SER FRANQUICIADO",B1)))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Multiplicando su Negocio</vt:lpstr>
      <vt:lpstr>Presupuesto Anual Franquicias</vt:lpstr>
      <vt:lpstr>Viabilidad para Franquiciar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A. Reñasco González</dc:creator>
  <cp:lastModifiedBy>Walter A. Reñasco González</cp:lastModifiedBy>
  <dcterms:created xsi:type="dcterms:W3CDTF">2022-07-23T21:38:48Z</dcterms:created>
  <dcterms:modified xsi:type="dcterms:W3CDTF">2022-08-25T21:29:39Z</dcterms:modified>
</cp:coreProperties>
</file>