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936E2187-0678-4EAC-B24F-AB42F9285C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4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1">Tabla36</definedName>
    <definedName name="A" localSheetId="2">Tabla36</definedName>
    <definedName name="A">Tabla36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10" i="5"/>
  <c r="J10" i="1" l="1"/>
  <c r="K14" i="5" l="1"/>
  <c r="L10" i="5"/>
  <c r="M7" i="5" s="1"/>
  <c r="K10" i="5"/>
  <c r="K15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0" i="5"/>
  <c r="D30" i="5" l="1"/>
  <c r="D18" i="5"/>
  <c r="K20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Q7" i="1" s="1"/>
  <c r="I13" i="1" s="1"/>
  <c r="J21" i="1"/>
  <c r="K21" i="1"/>
  <c r="J31" i="1" l="1"/>
  <c r="J30" i="1"/>
  <c r="N31" i="1" s="1"/>
  <c r="Q12" i="1"/>
  <c r="J20" i="1"/>
  <c r="N19" i="1" s="1"/>
  <c r="O4" i="1"/>
  <c r="O5" i="1"/>
  <c r="N18" i="1" l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<sst xmlns="http://schemas.openxmlformats.org/spreadsheetml/2006/main" count="225" uniqueCount="149">
  <si>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</si>
  <si>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</si>
  <si>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</si>
  <si>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</si>
  <si>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</si>
  <si>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</si>
  <si>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</si>
  <si>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</si>
  <si>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</si>
  <si>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</si>
  <si>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</si>
  <si>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</si>
  <si>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</si>
  <si>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</si>
  <si>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</si>
  <si>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</si>
  <si>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</si>
  <si>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</si>
  <si>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</si>
  <si>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</si>
  <si>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</si>
  <si>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</si>
  <si>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</si>
  <si>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</si>
  <si>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</si>
  <si>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</si>
  <si>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</si>
  <si>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</si>
  <si>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</si>
  <si>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</si>
  <si>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</si>
  <si>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</si>
  <si>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</si>
  <si>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</si>
  <si>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</si>
  <si>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</si>
  <si>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</si>
  <si>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</si>
  <si>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</si>
  <si>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</si>
  <si>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</si>
  <si>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</si>
  <si>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</si>
  <si>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</si>
  <si>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</si>
  <si>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</si>
  <si>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</si>
  <si>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</si>
  <si>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</si>
  <si>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</si>
  <si>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</si>
  <si>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</si>
  <si>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</si>
  <si>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</si>
  <si>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</si>
  <si>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</si>
  <si>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</si>
  <si>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</si>
  <si>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</si>
  <si>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</si>
  <si>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</si>
  <si>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</si>
  <si>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</si>
  <si>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</si>
  <si>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</si>
  <si>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</si>
  <si>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</si>
  <si>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</si>
  <si>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</si>
  <si>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</si>
  <si>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</si>
  <si>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</si>
  <si>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</si>
  <si>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</si>
  <si>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</si>
  <si>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</si>
  <si>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</si>
  <si>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</si>
  <si>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</si>
  <si>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</si>
  <si>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</si>
  <si>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</si>
  <si>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</si>
  <si>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</si>
  <si>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</si>
  <si>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</si>
  <si>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</si>
  <si>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</si>
  <si>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</si>
  <si>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</si>
  <si>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</si>
  <si>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</si>
  <si>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</si>
  <si>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</si>
  <si>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</si>
  <si>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</si>
  <si>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</si>
  <si>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</si>
  <si>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</si>
  <si>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</si>
  <si>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</si>
  <si>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</si>
  <si>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</si>
  <si>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</si>
  <si>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</si>
  <si>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</si>
  <si>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</si>
  <si>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</si>
  <si>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</si>
  <si>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</si>
  <si>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</si>
  <si>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</si>
  <si>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</si>
  <si>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</si>
  <si>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</si>
  <si>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</si>
  <si>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</si>
  <si>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</si>
  <si>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</si>
  <si>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Ventas Medias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</si>
  <si>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</si>
  <si>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</si>
  <si>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¿Cuál es la Gama de sus Productos?</t>
  </si>
  <si>
    <t>Gama Económica</t>
  </si>
  <si>
    <t>Gama Media</t>
  </si>
  <si>
    <t>Gama Lujosa</t>
  </si>
  <si>
    <t>Digite el tikect promedio en los cuadros amarillos. Gracias.</t>
  </si>
  <si>
    <t>Elija por favor solamente la gama que más vende en su tienda.</t>
  </si>
  <si>
    <t>(Capacidad Instalada Total) Estantes</t>
  </si>
  <si>
    <t>¿Cuántos productos piensa usted tiene en total?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</si>
  <si>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</si>
  <si>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</si>
  <si>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</si>
  <si>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</si>
  <si>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</si>
  <si>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</si>
  <si>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</si>
  <si>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</si>
  <si>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</si>
  <si>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</si>
  <si>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</si>
  <si>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Productos/Estantes:</t>
  </si>
  <si>
    <t>Solamente detallar precios de los productos más comunes de ventas, no los especiales.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</si>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</sst>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7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Border="1" applyProtection="1">
      <protection locked="0"/>
    </xf>
    <xf numFmtId="9" fontId="0" fillId="5" borderId="0" xfId="0" applyNumberForma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4" fillId="10" borderId="0" xfId="0" applyFont="1" applyFill="1" applyBorder="1" applyAlignment="1">
      <alignment horizontal="right"/>
    </xf>
    <xf numFmtId="0" fontId="14" fillId="10" borderId="0" xfId="0" applyFont="1" applyFill="1" applyBorder="1" applyAlignment="1">
      <alignment horizontal="left"/>
    </xf>
    <xf numFmtId="0" fontId="13" fillId="11" borderId="0" xfId="0" applyFont="1" applyFill="1" applyBorder="1" applyAlignment="1"/>
    <xf numFmtId="0" fontId="10" fillId="10" borderId="4" xfId="0" applyFont="1" applyFill="1" applyBorder="1"/>
    <xf numFmtId="0" fontId="0" fillId="10" borderId="0" xfId="0" applyFill="1" applyBorder="1"/>
    <xf numFmtId="0" fontId="0" fillId="10" borderId="5" xfId="0" applyFill="1" applyBorder="1"/>
    <xf numFmtId="0" fontId="0" fillId="10" borderId="4" xfId="0" applyFill="1" applyBorder="1"/>
    <xf numFmtId="3" fontId="15" fillId="10" borderId="0" xfId="0" applyNumberFormat="1" applyFont="1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14" fillId="10" borderId="7" xfId="0" applyFont="1" applyFill="1" applyBorder="1" applyAlignment="1">
      <alignment horizontal="right"/>
    </xf>
    <xf numFmtId="3" fontId="15" fillId="10" borderId="7" xfId="0" applyNumberFormat="1" applyFont="1" applyFill="1" applyBorder="1" applyAlignment="1">
      <alignment horizontal="center"/>
    </xf>
    <xf numFmtId="0" fontId="14" fillId="10" borderId="7" xfId="0" applyFont="1" applyFill="1" applyBorder="1" applyAlignment="1">
      <alignment horizontal="left"/>
    </xf>
    <xf numFmtId="0" fontId="0" fillId="10" borderId="8" xfId="0" applyFill="1" applyBorder="1"/>
    <xf numFmtId="3" fontId="26" fillId="10" borderId="0" xfId="0" applyNumberFormat="1" applyFont="1" applyFill="1" applyBorder="1" applyAlignment="1">
      <alignment horizontal="center"/>
    </xf>
    <xf numFmtId="164" fontId="26" fillId="10" borderId="0" xfId="0" applyNumberFormat="1" applyFont="1" applyFill="1" applyBorder="1"/>
    <xf numFmtId="0" fontId="27" fillId="10" borderId="0" xfId="0" applyFont="1" applyFill="1" applyBorder="1" applyAlignment="1">
      <alignment horizontal="right"/>
    </xf>
    <xf numFmtId="164" fontId="20" fillId="11" borderId="0" xfId="0" applyNumberFormat="1" applyFont="1" applyFill="1" applyBorder="1"/>
    <xf numFmtId="0" fontId="1" fillId="11" borderId="1" xfId="0" applyFont="1" applyFill="1" applyBorder="1" applyAlignment="1">
      <alignment horizontal="right"/>
    </xf>
    <xf numFmtId="164" fontId="1" fillId="11" borderId="2" xfId="0" applyNumberFormat="1" applyFont="1" applyFill="1" applyBorder="1"/>
    <xf numFmtId="9" fontId="1" fillId="11" borderId="3" xfId="0" applyNumberFormat="1" applyFont="1" applyFill="1" applyBorder="1" applyAlignment="1">
      <alignment horizontal="center"/>
    </xf>
    <xf numFmtId="164" fontId="1" fillId="11" borderId="3" xfId="0" applyNumberFormat="1" applyFont="1" applyFill="1" applyBorder="1"/>
    <xf numFmtId="0" fontId="0" fillId="12" borderId="0" xfId="0" applyFill="1"/>
    <xf numFmtId="0" fontId="17" fillId="12" borderId="0" xfId="0" applyFont="1" applyFill="1" applyBorder="1" applyAlignment="1">
      <alignment horizontal="right"/>
    </xf>
    <xf numFmtId="0" fontId="17" fillId="12" borderId="0" xfId="0" applyFont="1" applyFill="1" applyBorder="1" applyAlignment="1">
      <alignment horizontal="center"/>
    </xf>
    <xf numFmtId="0" fontId="17" fillId="12" borderId="0" xfId="0" applyFont="1" applyFill="1" applyBorder="1" applyAlignment="1">
      <alignment horizontal="left"/>
    </xf>
    <xf numFmtId="164" fontId="22" fillId="12" borderId="0" xfId="0" applyNumberFormat="1" applyFont="1" applyFill="1"/>
    <xf numFmtId="9" fontId="1" fillId="11" borderId="8" xfId="0" applyNumberFormat="1" applyFont="1" applyFill="1" applyBorder="1" applyAlignment="1">
      <alignment horizontal="center"/>
    </xf>
    <xf numFmtId="0" fontId="21" fillId="11" borderId="11" xfId="0" applyFont="1" applyFill="1" applyBorder="1"/>
    <xf numFmtId="0" fontId="1" fillId="11" borderId="12" xfId="0" applyFont="1" applyFill="1" applyBorder="1" applyAlignment="1">
      <alignment horizontal="right"/>
    </xf>
    <xf numFmtId="0" fontId="21" fillId="11" borderId="4" xfId="0" applyFont="1" applyFill="1" applyBorder="1"/>
    <xf numFmtId="0" fontId="1" fillId="11" borderId="0" xfId="0" applyFont="1" applyFill="1" applyBorder="1" applyAlignment="1">
      <alignment horizontal="right"/>
    </xf>
    <xf numFmtId="0" fontId="21" fillId="11" borderId="6" xfId="0" applyFont="1" applyFill="1" applyBorder="1"/>
    <xf numFmtId="0" fontId="1" fillId="11" borderId="7" xfId="0" applyFont="1" applyFill="1" applyBorder="1" applyAlignment="1">
      <alignment horizontal="right"/>
    </xf>
    <xf numFmtId="10" fontId="1" fillId="11" borderId="8" xfId="3" applyNumberFormat="1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164" fontId="1" fillId="11" borderId="8" xfId="0" applyNumberFormat="1" applyFont="1" applyFill="1" applyBorder="1"/>
    <xf numFmtId="0" fontId="28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5" fillId="12" borderId="0" xfId="0" applyFont="1" applyFill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6" fillId="0" borderId="0" xfId="0" applyFont="1"/>
    <xf numFmtId="0" fontId="8" fillId="11" borderId="11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lexincorp.com/" TargetMode="External"/><Relationship Id="rId3" Type="http://schemas.openxmlformats.org/officeDocument/2006/relationships/hyperlink" Target="https://www.worintnet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1.jpeg"/><Relationship Id="rId5" Type="http://schemas.openxmlformats.org/officeDocument/2006/relationships/hyperlink" Target="#Inic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561340</xdr:colOff>
      <xdr:row>9</xdr:row>
      <xdr:rowOff>22860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114300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986945</xdr:colOff>
      <xdr:row>29</xdr:row>
      <xdr:rowOff>60960</xdr:rowOff>
    </xdr:to>
    <xdr:pic>
      <xdr:nvPicPr>
        <xdr:cNvPr id="3" name="Imagen 2">
          <a:hlinkClick xmlns:r="http://schemas.openxmlformats.org/officeDocument/2006/relationships" r:id="rId3" tooltip="Crea Franquicia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60198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304800</xdr:colOff>
      <xdr:row>28</xdr:row>
      <xdr:rowOff>129540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886200" y="4465321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420814</xdr:colOff>
      <xdr:row>28</xdr:row>
      <xdr:rowOff>175337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980" y="342900"/>
          <a:ext cx="633222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TIENDAS Y COMERCIO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10" name="Imagen 9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82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11" name="CuadroTexto 10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19962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670560</xdr:colOff>
      <xdr:row>11</xdr:row>
      <xdr:rowOff>151817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31826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144197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62484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762000</xdr:colOff>
      <xdr:row>31</xdr:row>
      <xdr:rowOff>144197</xdr:rowOff>
    </xdr:to>
    <xdr:pic>
      <xdr:nvPicPr>
        <xdr:cNvPr id="14" name="Imagen 13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409956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762000</xdr:colOff>
      <xdr:row>31</xdr:row>
      <xdr:rowOff>144197</xdr:rowOff>
    </xdr:to>
    <xdr:pic>
      <xdr:nvPicPr>
        <xdr:cNvPr id="15" name="Imagen 14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06196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571500</xdr:colOff>
      <xdr:row>1</xdr:row>
      <xdr:rowOff>83820</xdr:rowOff>
    </xdr:from>
    <xdr:to>
      <xdr:col>16</xdr:col>
      <xdr:colOff>411480</xdr:colOff>
      <xdr:row>13</xdr:row>
      <xdr:rowOff>106680</xdr:rowOff>
    </xdr:to>
    <xdr:pic>
      <xdr:nvPicPr>
        <xdr:cNvPr id="16" name="Imagen 15" descr="Producto - Iconos gratis de mo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160" y="266700"/>
          <a:ext cx="2217420" cy="221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58DFA90-08DE-4812-A3FA-B677AE0C09AF}"/>
            </a:ext>
          </a:extLst>
        </xdr:cNvPr>
        <xdr:cNvSpPr txBox="1"/>
      </xdr:nvSpPr>
      <xdr:spPr>
        <a:xfrm>
          <a:off x="480060" y="3474720"/>
          <a:ext cx="1354836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una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tienda</a:t>
          </a:r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C04E986-6CED-4152-8BDE-BBDDCF4E259A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762000</xdr:colOff>
      <xdr:row>31</xdr:row>
      <xdr:rowOff>136577</xdr:rowOff>
    </xdr:to>
    <xdr:pic>
      <xdr:nvPicPr>
        <xdr:cNvPr id="19" name="Imagen 18" descr="Vector Transparente PNG Y SVG De Trazo De Icono De Sitio Web Www">
          <a:hlinkClick xmlns:r="http://schemas.openxmlformats.org/officeDocument/2006/relationships" r:id="rId13" tooltip="https://lexincorp.com/"/>
          <a:extLst>
            <a:ext uri="{FF2B5EF4-FFF2-40B4-BE49-F238E27FC236}">
              <a16:creationId xmlns:a16="http://schemas.microsoft.com/office/drawing/2014/main" id="{E983461E-61C1-42B3-89FC-EDD91012D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1231880" y="552450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566717</xdr:colOff>
      <xdr:row>28</xdr:row>
      <xdr:rowOff>65336</xdr:rowOff>
    </xdr:to>
    <xdr:pic>
      <xdr:nvPicPr>
        <xdr:cNvPr id="7" name="Imagen 6">
          <a:hlinkClick xmlns:r="http://schemas.openxmlformats.org/officeDocument/2006/relationships" r:id="rId13" tooltip="Crea Contratos de Franquicias"/>
          <a:extLst>
            <a:ext uri="{FF2B5EF4-FFF2-40B4-BE49-F238E27FC236}">
              <a16:creationId xmlns:a16="http://schemas.microsoft.com/office/drawing/2014/main" id="{346A0754-843B-44D3-8CB4-94B7089EE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D3F8108A-DDE3-4E4E-91B2-266930CEA743}"/>
            </a:ext>
          </a:extLst>
        </xdr:cNvPr>
        <xdr:cNvSpPr txBox="1"/>
      </xdr:nvSpPr>
      <xdr:spPr>
        <a:xfrm>
          <a:off x="32004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AAAA84F-B482-4D14-AFE0-A5114F617AA2}"/>
            </a:ext>
          </a:extLst>
        </xdr:cNvPr>
        <xdr:cNvSpPr txBox="1"/>
      </xdr:nvSpPr>
      <xdr:spPr>
        <a:xfrm>
          <a:off x="38176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84D9A1D-DC06-4D87-A4C9-A7250BBE85E4}"/>
            </a:ext>
          </a:extLst>
        </xdr:cNvPr>
        <xdr:cNvSpPr txBox="1"/>
      </xdr:nvSpPr>
      <xdr:spPr>
        <a:xfrm>
          <a:off x="7475220" y="5836920"/>
          <a:ext cx="34290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0F177FE-CDC1-4FD9-B976-BEFEA0F97F7F}"/>
            </a:ext>
          </a:extLst>
        </xdr:cNvPr>
        <xdr:cNvSpPr txBox="1"/>
      </xdr:nvSpPr>
      <xdr:spPr>
        <a:xfrm>
          <a:off x="1082040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99060</xdr:rowOff>
    </xdr:from>
    <xdr:to>
      <xdr:col>5</xdr:col>
      <xdr:colOff>1318260</xdr:colOff>
      <xdr:row>29</xdr:row>
      <xdr:rowOff>53340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8006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754381</xdr:colOff>
      <xdr:row>16</xdr:row>
      <xdr:rowOff>76200</xdr:rowOff>
    </xdr:from>
    <xdr:to>
      <xdr:col>14</xdr:col>
      <xdr:colOff>412475</xdr:colOff>
      <xdr:row>18</xdr:row>
      <xdr:rowOff>70925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1" y="348234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16</xdr:row>
      <xdr:rowOff>87924</xdr:rowOff>
    </xdr:from>
    <xdr:to>
      <xdr:col>14</xdr:col>
      <xdr:colOff>4327</xdr:colOff>
      <xdr:row>18</xdr:row>
      <xdr:rowOff>76200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54000" y="349406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754381</xdr:colOff>
      <xdr:row>18</xdr:row>
      <xdr:rowOff>91440</xdr:rowOff>
    </xdr:from>
    <xdr:to>
      <xdr:col>14</xdr:col>
      <xdr:colOff>412475</xdr:colOff>
      <xdr:row>20</xdr:row>
      <xdr:rowOff>86165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92201" y="394716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18</xdr:row>
      <xdr:rowOff>103164</xdr:rowOff>
    </xdr:from>
    <xdr:to>
      <xdr:col>14</xdr:col>
      <xdr:colOff>4327</xdr:colOff>
      <xdr:row>20</xdr:row>
      <xdr:rowOff>83820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954000" y="395888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53340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574780" y="2255520"/>
          <a:ext cx="2148840" cy="838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 comprar fijo de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15240</xdr:colOff>
      <xdr:row>10</xdr:row>
      <xdr:rowOff>175260</xdr:rowOff>
    </xdr:from>
    <xdr:to>
      <xdr:col>6</xdr:col>
      <xdr:colOff>670560</xdr:colOff>
      <xdr:row>23</xdr:row>
      <xdr:rowOff>0</xdr:rowOff>
    </xdr:to>
    <xdr:pic>
      <xdr:nvPicPr>
        <xdr:cNvPr id="18" name="Imagen 17" descr="Hombre de compras con estante de cesta y diseño de vectores de productos  1830393 Vector en Vecteezy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461260"/>
          <a:ext cx="2651760" cy="265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1546860</xdr:colOff>
      <xdr:row>22</xdr:row>
      <xdr:rowOff>76200</xdr:rowOff>
    </xdr:from>
    <xdr:to>
      <xdr:col>6</xdr:col>
      <xdr:colOff>739140</xdr:colOff>
      <xdr:row>27</xdr:row>
      <xdr:rowOff>83820</xdr:rowOff>
    </xdr:to>
    <xdr:pic>
      <xdr:nvPicPr>
        <xdr:cNvPr id="21" name="Imagen 20" descr="Packaging y etiquetado de envases para productos - PMH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477774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822960</xdr:colOff>
      <xdr:row>24</xdr:row>
      <xdr:rowOff>129540</xdr:rowOff>
    </xdr:from>
    <xdr:to>
      <xdr:col>6</xdr:col>
      <xdr:colOff>259080</xdr:colOff>
      <xdr:row>31</xdr:row>
      <xdr:rowOff>137160</xdr:rowOff>
    </xdr:to>
    <xdr:pic>
      <xdr:nvPicPr>
        <xdr:cNvPr id="20" name="Imagen 19" descr="PNG y SVG de producto con fondo transparente para descargar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536448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152400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76200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showRowColHeaders="0" tabSelected="1" workbookViewId="0">
      <selection activeCell="B36" sqref="B36"/>
    </sheetView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4.4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4.4" customHeigh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11" spans="1:18" x14ac:dyDescent="0.3">
      <c r="D11" t="s">
        <v>118</v>
      </c>
    </row>
    <row r="31" spans="3:16" x14ac:dyDescent="0.3">
      <c r="C31" t="s">
        <v>118</v>
      </c>
      <c r="G31" t="s">
        <v>118</v>
      </c>
      <c r="L31" t="s">
        <v>118</v>
      </c>
      <c r="P31" t="s">
        <v>118</v>
      </c>
    </row>
  </sheetData>
  <sheetProtection algorithmName="SHA-512" hashValue="X/W/5fpshDcOPu1NkIrUbhH7juxPGbVc+yks0HmEUVFYAIzwxxR/XTChExLViFWEI9Tcktz1PAfMQrFdnbg8wQ==" saltValue="4rJViS9Uq33PI0rtPUhJPg==" spinCount="100000" sheet="1" objects="1" scenarios="1" selectLockedCells="1" selectUnlockedCells="1"/>
  <hyperlinks>
    <hyperlink ref="A34" r:id="rId1" display="https://www.winpartnersgroup.com/ 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showGridLines="0" showRowColHeaders="0" zoomScaleNormal="100" workbookViewId="0">
      <selection activeCell="D7" sqref="D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3" ht="25.8" x14ac:dyDescent="0.5">
      <c r="B1" s="22" t="s">
        <v>145</v>
      </c>
    </row>
    <row r="3" spans="2:13" ht="21" x14ac:dyDescent="0.4">
      <c r="B3" s="81">
        <v>1</v>
      </c>
      <c r="C3" s="20" t="s">
        <v>25</v>
      </c>
      <c r="H3" s="81">
        <v>4</v>
      </c>
      <c r="I3" s="20" t="s">
        <v>72</v>
      </c>
    </row>
    <row r="4" spans="2:13" ht="21" x14ac:dyDescent="0.4">
      <c r="B4" s="19" t="s">
        <v>127</v>
      </c>
      <c r="D4" s="17"/>
      <c r="E4" s="17"/>
      <c r="I4" s="19" t="s">
        <v>135</v>
      </c>
    </row>
    <row r="5" spans="2:13" x14ac:dyDescent="0.3">
      <c r="B5" s="19" t="s">
        <v>126</v>
      </c>
      <c r="E5" s="18"/>
      <c r="I5" s="19" t="s">
        <v>142</v>
      </c>
    </row>
    <row r="6" spans="2:13" x14ac:dyDescent="0.3">
      <c r="D6" s="75" t="s">
        <v>122</v>
      </c>
      <c r="J6" s="4" t="s">
        <v>133</v>
      </c>
      <c r="L6" s="41" t="s">
        <v>134</v>
      </c>
    </row>
    <row r="7" spans="2:13" x14ac:dyDescent="0.3">
      <c r="C7" s="6" t="s">
        <v>123</v>
      </c>
      <c r="D7" s="47">
        <v>25</v>
      </c>
      <c r="E7" s="18"/>
      <c r="J7" s="6" t="s">
        <v>73</v>
      </c>
      <c r="K7" s="47">
        <v>40</v>
      </c>
      <c r="L7" s="44">
        <v>10</v>
      </c>
      <c r="M7" s="40">
        <f>L7/$L$10</f>
        <v>0.05</v>
      </c>
    </row>
    <row r="8" spans="2:13" x14ac:dyDescent="0.3">
      <c r="C8" s="6" t="s">
        <v>124</v>
      </c>
      <c r="D8" s="47">
        <v>0</v>
      </c>
      <c r="J8" s="6" t="s">
        <v>75</v>
      </c>
      <c r="K8" s="47">
        <v>20</v>
      </c>
      <c r="L8" s="44">
        <v>60</v>
      </c>
      <c r="M8" s="40">
        <f>L8/$L$10</f>
        <v>0.3</v>
      </c>
    </row>
    <row r="9" spans="2:13" x14ac:dyDescent="0.3">
      <c r="C9" s="6" t="s">
        <v>125</v>
      </c>
      <c r="D9" s="47">
        <v>0</v>
      </c>
      <c r="J9" s="6" t="s">
        <v>74</v>
      </c>
      <c r="K9" s="47">
        <v>5</v>
      </c>
      <c r="L9" s="44">
        <v>130</v>
      </c>
      <c r="M9" s="40">
        <f>L9/$L$10</f>
        <v>0.65</v>
      </c>
    </row>
    <row r="10" spans="2:13" x14ac:dyDescent="0.3">
      <c r="C10" s="6" t="s">
        <v>27</v>
      </c>
      <c r="D10" s="5">
        <f>SUM(D7:D9)</f>
        <v>25</v>
      </c>
      <c r="J10" s="6" t="s">
        <v>76</v>
      </c>
      <c r="K10" s="5">
        <f>AVERAGE(K7:K9)</f>
        <v>21.666666666666668</v>
      </c>
      <c r="L10" s="39">
        <f>SUM(L7:L9)</f>
        <v>200</v>
      </c>
      <c r="M10" s="40">
        <f>L10/$L$10</f>
        <v>1</v>
      </c>
    </row>
    <row r="11" spans="2:13" x14ac:dyDescent="0.3">
      <c r="J11" s="4" t="s">
        <v>136</v>
      </c>
    </row>
    <row r="12" spans="2:13" ht="21" x14ac:dyDescent="0.4">
      <c r="B12" s="81">
        <v>2</v>
      </c>
      <c r="C12" s="20" t="s">
        <v>26</v>
      </c>
      <c r="J12" s="6" t="s">
        <v>73</v>
      </c>
      <c r="K12" s="47">
        <v>25</v>
      </c>
    </row>
    <row r="13" spans="2:13" ht="21" x14ac:dyDescent="0.4">
      <c r="B13" s="19" t="s">
        <v>30</v>
      </c>
      <c r="D13" s="17"/>
      <c r="E13" s="17"/>
      <c r="J13" s="6" t="s">
        <v>74</v>
      </c>
      <c r="K13" s="47">
        <v>10</v>
      </c>
    </row>
    <row r="14" spans="2:13" x14ac:dyDescent="0.3">
      <c r="B14" s="19" t="s">
        <v>31</v>
      </c>
      <c r="K14" s="5">
        <f>AVERAGE(K12:K13)</f>
        <v>17.5</v>
      </c>
    </row>
    <row r="15" spans="2:13" x14ac:dyDescent="0.3">
      <c r="B15" s="18"/>
      <c r="J15" s="4" t="s">
        <v>77</v>
      </c>
      <c r="K15" s="5">
        <f>AVERAGE(K10,K14)</f>
        <v>19.583333333333336</v>
      </c>
    </row>
    <row r="16" spans="2:13" x14ac:dyDescent="0.3">
      <c r="C16" s="6" t="s">
        <v>128</v>
      </c>
      <c r="D16" s="44">
        <v>3</v>
      </c>
    </row>
    <row r="17" spans="2:13" ht="21" x14ac:dyDescent="0.4">
      <c r="B17" s="18"/>
      <c r="C17" s="6" t="s">
        <v>129</v>
      </c>
      <c r="D17" s="44">
        <v>20</v>
      </c>
      <c r="E17" s="18"/>
      <c r="H17" s="117" t="s">
        <v>143</v>
      </c>
      <c r="I17" s="118"/>
      <c r="J17" s="118"/>
      <c r="K17" s="118"/>
      <c r="L17" s="118"/>
      <c r="M17" s="119"/>
    </row>
    <row r="18" spans="2:13" ht="14.4" customHeight="1" x14ac:dyDescent="0.3">
      <c r="C18" s="6" t="s">
        <v>130</v>
      </c>
      <c r="D18" s="39">
        <f>D17/D16</f>
        <v>6.666666666666667</v>
      </c>
      <c r="E18" s="18"/>
      <c r="H18" s="120" t="s">
        <v>144</v>
      </c>
      <c r="I18" s="121"/>
      <c r="J18" s="121"/>
      <c r="K18" s="121"/>
      <c r="L18" s="121"/>
      <c r="M18" s="122"/>
    </row>
    <row r="19" spans="2:13" x14ac:dyDescent="0.3">
      <c r="B19" s="21"/>
      <c r="C19" s="6" t="s">
        <v>131</v>
      </c>
      <c r="D19" s="48">
        <v>0.25</v>
      </c>
      <c r="E19" s="18"/>
      <c r="H19" s="82"/>
      <c r="I19" s="83"/>
      <c r="J19" s="83"/>
      <c r="K19" s="83"/>
      <c r="L19" s="83"/>
      <c r="M19" s="84"/>
    </row>
    <row r="20" spans="2:13" ht="21" x14ac:dyDescent="0.4">
      <c r="B20" s="18"/>
      <c r="C20" s="6" t="s">
        <v>132</v>
      </c>
      <c r="D20" s="39">
        <f>D16*D19</f>
        <v>0.75</v>
      </c>
      <c r="E20" s="18"/>
      <c r="H20" s="85"/>
      <c r="I20" s="83"/>
      <c r="J20" s="95" t="str">
        <f>IF(D7&gt;0,C7,IF(D8&gt;0,C8,IF(D9&gt;0,C9,0)))</f>
        <v>Gama Económica</v>
      </c>
      <c r="K20" s="94">
        <f>(D28*D27)*D29*(D20*D18)*K15</f>
        <v>18800.000000000004</v>
      </c>
      <c r="L20" s="83"/>
      <c r="M20" s="84"/>
    </row>
    <row r="21" spans="2:13" ht="15.6" x14ac:dyDescent="0.3">
      <c r="H21" s="85"/>
      <c r="I21" s="83"/>
      <c r="J21" s="79" t="s">
        <v>137</v>
      </c>
      <c r="K21" s="86">
        <f>K20/K15</f>
        <v>960.00000000000011</v>
      </c>
      <c r="L21" s="80" t="s">
        <v>34</v>
      </c>
      <c r="M21" s="84"/>
    </row>
    <row r="22" spans="2:13" ht="15.6" x14ac:dyDescent="0.3">
      <c r="H22" s="85"/>
      <c r="I22" s="83"/>
      <c r="J22" s="79" t="s">
        <v>137</v>
      </c>
      <c r="K22" s="86">
        <f>K21/D29</f>
        <v>240.00000000000003</v>
      </c>
      <c r="L22" s="80" t="s">
        <v>35</v>
      </c>
      <c r="M22" s="84"/>
    </row>
    <row r="23" spans="2:13" ht="21" x14ac:dyDescent="0.4">
      <c r="B23" s="81">
        <v>3</v>
      </c>
      <c r="C23" s="20" t="s">
        <v>28</v>
      </c>
      <c r="H23" s="85"/>
      <c r="I23" s="83"/>
      <c r="J23" s="79" t="s">
        <v>137</v>
      </c>
      <c r="K23" s="86">
        <f>K22/D27</f>
        <v>40.000000000000007</v>
      </c>
      <c r="L23" s="80" t="s">
        <v>36</v>
      </c>
      <c r="M23" s="84"/>
    </row>
    <row r="24" spans="2:13" ht="21" x14ac:dyDescent="0.4">
      <c r="B24" s="19" t="s">
        <v>33</v>
      </c>
      <c r="D24" s="17"/>
      <c r="E24" s="17"/>
      <c r="H24" s="85"/>
      <c r="I24" s="83"/>
      <c r="J24" s="79" t="s">
        <v>137</v>
      </c>
      <c r="K24" s="86">
        <f>K23/D28</f>
        <v>5.0000000000000009</v>
      </c>
      <c r="L24" s="80" t="s">
        <v>37</v>
      </c>
      <c r="M24" s="84"/>
    </row>
    <row r="25" spans="2:13" x14ac:dyDescent="0.3">
      <c r="B25" s="19" t="s">
        <v>32</v>
      </c>
      <c r="E25" s="18"/>
      <c r="H25" s="85"/>
      <c r="I25" s="83"/>
      <c r="J25" s="83"/>
      <c r="K25" s="83"/>
      <c r="L25" s="83"/>
      <c r="M25" s="84"/>
    </row>
    <row r="26" spans="2:13" ht="21" x14ac:dyDescent="0.4">
      <c r="H26" s="85"/>
      <c r="I26" s="83"/>
      <c r="J26" s="95" t="str">
        <f>J21</f>
        <v>Productos a vender</v>
      </c>
      <c r="K26" s="93">
        <f>K21</f>
        <v>960.00000000000011</v>
      </c>
      <c r="L26" s="83"/>
      <c r="M26" s="84"/>
    </row>
    <row r="27" spans="2:13" ht="15.6" x14ac:dyDescent="0.3">
      <c r="C27" s="6" t="s">
        <v>40</v>
      </c>
      <c r="D27" s="44">
        <v>6</v>
      </c>
      <c r="H27" s="85"/>
      <c r="I27" s="83"/>
      <c r="J27" s="79" t="s">
        <v>38</v>
      </c>
      <c r="K27" s="86">
        <f>K21/$D$30</f>
        <v>752.00000000000023</v>
      </c>
      <c r="L27" s="80" t="s">
        <v>34</v>
      </c>
      <c r="M27" s="84"/>
    </row>
    <row r="28" spans="2:13" ht="15.6" x14ac:dyDescent="0.3">
      <c r="C28" s="6" t="s">
        <v>41</v>
      </c>
      <c r="D28" s="44">
        <v>8</v>
      </c>
      <c r="H28" s="85"/>
      <c r="I28" s="83"/>
      <c r="J28" s="79" t="s">
        <v>38</v>
      </c>
      <c r="K28" s="86">
        <f>K22/$D$30</f>
        <v>188.00000000000006</v>
      </c>
      <c r="L28" s="80" t="s">
        <v>35</v>
      </c>
      <c r="M28" s="84"/>
    </row>
    <row r="29" spans="2:13" ht="15.6" x14ac:dyDescent="0.3">
      <c r="C29" s="6" t="s">
        <v>29</v>
      </c>
      <c r="D29" s="49">
        <v>4</v>
      </c>
      <c r="H29" s="85"/>
      <c r="I29" s="83"/>
      <c r="J29" s="79" t="s">
        <v>38</v>
      </c>
      <c r="K29" s="86">
        <f>K23/$D$30</f>
        <v>31.333333333333343</v>
      </c>
      <c r="L29" s="80" t="s">
        <v>36</v>
      </c>
      <c r="M29" s="84"/>
    </row>
    <row r="30" spans="2:13" ht="15.6" x14ac:dyDescent="0.3">
      <c r="C30" s="6" t="s">
        <v>39</v>
      </c>
      <c r="D30" s="38">
        <f>D10/K15</f>
        <v>1.2765957446808509</v>
      </c>
      <c r="H30" s="87"/>
      <c r="I30" s="88"/>
      <c r="J30" s="89" t="s">
        <v>38</v>
      </c>
      <c r="K30" s="90">
        <f>K24/$D$30</f>
        <v>3.9166666666666679</v>
      </c>
      <c r="L30" s="91" t="s">
        <v>37</v>
      </c>
      <c r="M30" s="92"/>
    </row>
    <row r="31" spans="2:13" x14ac:dyDescent="0.3">
      <c r="C31" s="6"/>
    </row>
  </sheetData>
  <sheetProtection algorithmName="SHA-512" hashValue="DZ5vYxw0/JpDUDOX/QhTac16s2Um+khZckP0BmppUPkws8crTl+Te1zkPezzQvGiyzdLo52q3ZaIoXkDSF/cxQ==" saltValue="b0G/4Qc4cQNU+svrSqXwXQ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10" sqref="G10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29" customWidth="1"/>
    <col min="11" max="14" width="15.77734375" customWidth="1"/>
    <col min="15" max="15" width="3.88671875" customWidth="1"/>
  </cols>
  <sheetData>
    <row r="1" spans="2:16" ht="25.8" x14ac:dyDescent="0.5">
      <c r="B1" s="22" t="s">
        <v>146</v>
      </c>
    </row>
    <row r="2" spans="2:16" ht="11.4" customHeight="1" x14ac:dyDescent="0.3"/>
    <row r="3" spans="2:16" ht="21" x14ac:dyDescent="0.4">
      <c r="B3" s="81">
        <v>1</v>
      </c>
      <c r="C3" s="20" t="s">
        <v>62</v>
      </c>
      <c r="I3" s="123" t="s">
        <v>52</v>
      </c>
      <c r="J3" s="123"/>
      <c r="K3" s="123"/>
      <c r="L3" s="123"/>
      <c r="M3" s="123"/>
      <c r="N3" s="123"/>
      <c r="O3" s="123"/>
    </row>
    <row r="4" spans="2:16" x14ac:dyDescent="0.3">
      <c r="B4" s="19" t="s">
        <v>49</v>
      </c>
      <c r="I4" s="101"/>
      <c r="J4" s="101"/>
      <c r="K4" s="101"/>
      <c r="L4" s="101"/>
      <c r="M4" s="101"/>
      <c r="N4" s="101"/>
      <c r="O4" s="101"/>
    </row>
    <row r="5" spans="2:16" ht="18" x14ac:dyDescent="0.35">
      <c r="B5" s="19" t="s">
        <v>147</v>
      </c>
      <c r="I5" s="101"/>
      <c r="J5" s="102"/>
      <c r="K5" s="103" t="s">
        <v>14</v>
      </c>
      <c r="L5" s="103" t="s">
        <v>59</v>
      </c>
      <c r="M5" s="103" t="s">
        <v>60</v>
      </c>
      <c r="N5" s="103" t="s">
        <v>57</v>
      </c>
      <c r="O5" s="101"/>
    </row>
    <row r="6" spans="2:16" ht="18" x14ac:dyDescent="0.35">
      <c r="B6" s="19" t="s">
        <v>120</v>
      </c>
      <c r="I6" s="101"/>
      <c r="J6" s="102" t="s">
        <v>53</v>
      </c>
      <c r="K6" s="30">
        <f>SUM(C21:C23)</f>
        <v>65800.000000000015</v>
      </c>
      <c r="L6" s="30">
        <f>SUM(K21:K23)</f>
        <v>42770.000000000015</v>
      </c>
      <c r="M6" s="30">
        <f>SUM(N21:N23)</f>
        <v>11844.000000000002</v>
      </c>
      <c r="N6" s="36">
        <f>K6-L6-M6</f>
        <v>11185.999999999998</v>
      </c>
      <c r="O6" s="101"/>
    </row>
    <row r="7" spans="2:16" ht="18" x14ac:dyDescent="0.35">
      <c r="B7" s="19"/>
      <c r="I7" s="101"/>
      <c r="J7" s="102" t="s">
        <v>54</v>
      </c>
      <c r="K7" s="30">
        <f>SUM(C24:C26)</f>
        <v>43866.666666666672</v>
      </c>
      <c r="L7" s="30">
        <f>SUM(K24:K26)</f>
        <v>28513.333333333343</v>
      </c>
      <c r="M7" s="30">
        <f>SUM(N24:N26)</f>
        <v>7896.0000000000009</v>
      </c>
      <c r="N7" s="36">
        <f t="shared" ref="N7:N9" si="0">K7-L7-M7</f>
        <v>7457.3333333333276</v>
      </c>
      <c r="O7" s="101"/>
    </row>
    <row r="8" spans="2:16" ht="18" x14ac:dyDescent="0.35">
      <c r="E8" s="23" t="str">
        <f>'Multiplicando su Negocio'!J20</f>
        <v>Gama Económica</v>
      </c>
      <c r="F8" s="26" t="s">
        <v>48</v>
      </c>
      <c r="G8" s="96">
        <f>'Multiplicando su Negocio'!K20</f>
        <v>18800.000000000004</v>
      </c>
      <c r="H8" s="31"/>
      <c r="I8" s="104"/>
      <c r="J8" s="102" t="s">
        <v>55</v>
      </c>
      <c r="K8" s="30">
        <f>SUM(C27:C29)</f>
        <v>78333.333333333343</v>
      </c>
      <c r="L8" s="30">
        <f>SUM(K27:K29)</f>
        <v>50916.666666666679</v>
      </c>
      <c r="M8" s="30">
        <f>SUM(N27:N29)</f>
        <v>14100.000000000004</v>
      </c>
      <c r="N8" s="36">
        <f t="shared" si="0"/>
        <v>13316.666666666661</v>
      </c>
      <c r="O8" s="101"/>
    </row>
    <row r="9" spans="2:16" ht="18" x14ac:dyDescent="0.35">
      <c r="F9" s="25" t="s">
        <v>43</v>
      </c>
      <c r="G9" s="43" t="s">
        <v>15</v>
      </c>
      <c r="H9" s="32"/>
      <c r="I9" s="101"/>
      <c r="J9" s="102" t="s">
        <v>56</v>
      </c>
      <c r="K9" s="30">
        <f>SUM(C30:C32)</f>
        <v>65800.000000000015</v>
      </c>
      <c r="L9" s="30">
        <f>SUM(K30:K32)</f>
        <v>42770.000000000007</v>
      </c>
      <c r="M9" s="30">
        <f>SUM(N30:N32)</f>
        <v>11844.000000000004</v>
      </c>
      <c r="N9" s="36">
        <f t="shared" si="0"/>
        <v>11186.000000000004</v>
      </c>
      <c r="O9" s="101"/>
    </row>
    <row r="10" spans="2:16" ht="18" customHeight="1" x14ac:dyDescent="0.35">
      <c r="B10" s="27"/>
      <c r="C10" s="27"/>
      <c r="D10" s="27"/>
      <c r="E10" s="27"/>
      <c r="F10" s="25" t="s">
        <v>44</v>
      </c>
      <c r="G10" s="43">
        <v>6</v>
      </c>
      <c r="H10" s="32"/>
      <c r="I10" s="101"/>
      <c r="J10" s="102" t="s">
        <v>58</v>
      </c>
      <c r="K10" s="105">
        <f>SUM(K6:K9)</f>
        <v>253800.00000000006</v>
      </c>
      <c r="L10" s="105">
        <f t="shared" ref="L10:N10" si="1">SUM(L6:L9)</f>
        <v>164970.00000000003</v>
      </c>
      <c r="M10" s="105">
        <f t="shared" si="1"/>
        <v>45684.000000000015</v>
      </c>
      <c r="N10" s="105">
        <f t="shared" si="1"/>
        <v>43145.999999999985</v>
      </c>
      <c r="O10" s="101"/>
      <c r="P10" s="37">
        <f>N10/K10</f>
        <v>0.1699999999999999</v>
      </c>
    </row>
    <row r="11" spans="2:16" x14ac:dyDescent="0.3">
      <c r="F11" s="25" t="s">
        <v>148</v>
      </c>
      <c r="G11" s="44" t="s">
        <v>119</v>
      </c>
      <c r="H11" s="33"/>
      <c r="I11" s="127" t="s">
        <v>78</v>
      </c>
      <c r="J11" s="127"/>
      <c r="K11" s="127"/>
      <c r="L11" s="127"/>
      <c r="M11" s="127"/>
      <c r="N11" s="127"/>
      <c r="O11" s="127"/>
    </row>
    <row r="12" spans="2:16" x14ac:dyDescent="0.3">
      <c r="I12" s="19"/>
    </row>
    <row r="13" spans="2:16" ht="21" x14ac:dyDescent="0.4">
      <c r="B13" s="81">
        <v>2</v>
      </c>
      <c r="C13" s="20" t="s">
        <v>61</v>
      </c>
      <c r="I13" s="81">
        <v>3</v>
      </c>
      <c r="J13" s="20" t="s">
        <v>63</v>
      </c>
      <c r="K13" s="20"/>
    </row>
    <row r="14" spans="2:16" ht="21" x14ac:dyDescent="0.4">
      <c r="B14" s="19" t="s">
        <v>45</v>
      </c>
      <c r="D14" s="17"/>
      <c r="E14" s="17"/>
      <c r="J14" s="19" t="s">
        <v>64</v>
      </c>
    </row>
    <row r="15" spans="2:16" x14ac:dyDescent="0.3">
      <c r="B15" s="19" t="s">
        <v>47</v>
      </c>
      <c r="E15" s="18"/>
      <c r="J15" s="19" t="s">
        <v>65</v>
      </c>
    </row>
    <row r="16" spans="2:16" x14ac:dyDescent="0.3">
      <c r="B16" t="s">
        <v>121</v>
      </c>
      <c r="G16" s="43" t="s">
        <v>17</v>
      </c>
      <c r="H16" s="32"/>
      <c r="J16" t="s">
        <v>66</v>
      </c>
      <c r="M16" t="s">
        <v>69</v>
      </c>
    </row>
    <row r="17" spans="2:14" x14ac:dyDescent="0.3">
      <c r="B17" t="s">
        <v>46</v>
      </c>
      <c r="G17" s="43">
        <v>3</v>
      </c>
      <c r="H17" s="32"/>
      <c r="J17" t="s">
        <v>67</v>
      </c>
      <c r="M17" t="s">
        <v>67</v>
      </c>
    </row>
    <row r="18" spans="2:14" x14ac:dyDescent="0.3">
      <c r="B18" t="s">
        <v>42</v>
      </c>
      <c r="J18" t="s">
        <v>68</v>
      </c>
      <c r="M18" t="s">
        <v>68</v>
      </c>
    </row>
    <row r="19" spans="2:14" x14ac:dyDescent="0.3">
      <c r="K19" s="46">
        <v>0.65</v>
      </c>
      <c r="N19" s="46">
        <v>0.18</v>
      </c>
    </row>
    <row r="20" spans="2:14" ht="15.6" x14ac:dyDescent="0.3">
      <c r="B20" s="124" t="s">
        <v>7</v>
      </c>
      <c r="C20" s="126"/>
      <c r="D20" s="125"/>
      <c r="F20" s="35" t="s">
        <v>138</v>
      </c>
      <c r="J20" s="124" t="s">
        <v>50</v>
      </c>
      <c r="K20" s="125"/>
      <c r="M20" s="124" t="s">
        <v>51</v>
      </c>
      <c r="N20" s="125"/>
    </row>
    <row r="21" spans="2:14" ht="15.6" customHeight="1" x14ac:dyDescent="0.3">
      <c r="B21" s="14" t="s">
        <v>9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25066.666666666672</v>
      </c>
      <c r="D21" s="24">
        <f>IF($G$16="Enero",$G$17,G21)</f>
        <v>8</v>
      </c>
      <c r="F21" s="25" t="str">
        <f>B21</f>
        <v>Enero</v>
      </c>
      <c r="G21" s="45">
        <v>8</v>
      </c>
      <c r="H21" s="34"/>
      <c r="J21" s="14" t="s">
        <v>9</v>
      </c>
      <c r="K21" s="28">
        <f>C21*$K$19</f>
        <v>16293.333333333338</v>
      </c>
      <c r="M21" s="14" t="s">
        <v>9</v>
      </c>
      <c r="N21" s="28">
        <f>C21*$N$19</f>
        <v>4512.0000000000009</v>
      </c>
    </row>
    <row r="22" spans="2:14" x14ac:dyDescent="0.3">
      <c r="B22" s="14" t="s">
        <v>12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21933.333333333339</v>
      </c>
      <c r="D22" s="24">
        <f>IF($G$16="Febrero",$G$17,G22)</f>
        <v>7</v>
      </c>
      <c r="F22" s="25" t="str">
        <f t="shared" ref="F22:F32" si="2">B22</f>
        <v>Febrero</v>
      </c>
      <c r="G22" s="45">
        <v>7</v>
      </c>
      <c r="H22" s="34"/>
      <c r="J22" s="14" t="s">
        <v>12</v>
      </c>
      <c r="K22" s="28">
        <f t="shared" ref="K22:K32" si="3">C22*$K$19</f>
        <v>14256.666666666672</v>
      </c>
      <c r="M22" s="14" t="s">
        <v>12</v>
      </c>
      <c r="N22" s="28">
        <f t="shared" ref="N22:N32" si="4">C22*$N$19</f>
        <v>3948.0000000000009</v>
      </c>
    </row>
    <row r="23" spans="2:14" x14ac:dyDescent="0.3">
      <c r="B23" s="14" t="s">
        <v>13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18800.000000000004</v>
      </c>
      <c r="D23" s="24">
        <f>IF($G$16="Marzo",$G$17,G23)</f>
        <v>6</v>
      </c>
      <c r="F23" s="25" t="str">
        <f t="shared" si="2"/>
        <v>Marzo</v>
      </c>
      <c r="G23" s="45">
        <v>6</v>
      </c>
      <c r="H23" s="34"/>
      <c r="J23" s="14" t="s">
        <v>13</v>
      </c>
      <c r="K23" s="28">
        <f t="shared" si="3"/>
        <v>12220.000000000004</v>
      </c>
      <c r="M23" s="14" t="s">
        <v>13</v>
      </c>
      <c r="N23" s="28">
        <f t="shared" si="4"/>
        <v>3384.0000000000005</v>
      </c>
    </row>
    <row r="24" spans="2:14" x14ac:dyDescent="0.3">
      <c r="B24" s="14" t="s">
        <v>15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18800.000000000004</v>
      </c>
      <c r="D24" s="24">
        <f>IF($G$16="Abril",$G$17,G24)</f>
        <v>6</v>
      </c>
      <c r="F24" s="25" t="str">
        <f t="shared" si="2"/>
        <v>Abril</v>
      </c>
      <c r="G24" s="45">
        <v>6</v>
      </c>
      <c r="H24" s="34"/>
      <c r="J24" s="14" t="s">
        <v>15</v>
      </c>
      <c r="K24" s="28">
        <f t="shared" si="3"/>
        <v>12220.000000000004</v>
      </c>
      <c r="M24" s="14" t="s">
        <v>15</v>
      </c>
      <c r="N24" s="28">
        <f t="shared" si="4"/>
        <v>3384.0000000000005</v>
      </c>
    </row>
    <row r="25" spans="2:14" x14ac:dyDescent="0.3">
      <c r="B25" s="14" t="s">
        <v>16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15666.66666666667</v>
      </c>
      <c r="D25" s="24">
        <f>IF($G$16="Mayo",$G$17,G25)</f>
        <v>5</v>
      </c>
      <c r="F25" s="25" t="str">
        <f t="shared" si="2"/>
        <v>Mayo</v>
      </c>
      <c r="G25" s="45">
        <v>5</v>
      </c>
      <c r="H25" s="34"/>
      <c r="J25" s="14" t="s">
        <v>16</v>
      </c>
      <c r="K25" s="28">
        <f t="shared" si="3"/>
        <v>10183.333333333336</v>
      </c>
      <c r="M25" s="14" t="s">
        <v>16</v>
      </c>
      <c r="N25" s="28">
        <f t="shared" si="4"/>
        <v>2820.0000000000005</v>
      </c>
    </row>
    <row r="26" spans="2:14" x14ac:dyDescent="0.3">
      <c r="B26" s="14" t="s">
        <v>17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9400.0000000000018</v>
      </c>
      <c r="D26" s="24">
        <f>IF($G$16="Junio",$G$17,G26)</f>
        <v>3</v>
      </c>
      <c r="F26" s="25" t="str">
        <f t="shared" si="2"/>
        <v>Junio</v>
      </c>
      <c r="G26" s="45">
        <v>3</v>
      </c>
      <c r="H26" s="34"/>
      <c r="J26" s="14" t="s">
        <v>17</v>
      </c>
      <c r="K26" s="28">
        <f t="shared" si="3"/>
        <v>6110.0000000000018</v>
      </c>
      <c r="M26" s="14" t="s">
        <v>17</v>
      </c>
      <c r="N26" s="28">
        <f t="shared" si="4"/>
        <v>1692.0000000000002</v>
      </c>
    </row>
    <row r="27" spans="2:14" x14ac:dyDescent="0.3">
      <c r="B27" s="14" t="s">
        <v>18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28200.000000000004</v>
      </c>
      <c r="D27" s="24">
        <f>IF($G$16="Julio",$G$17,G27)</f>
        <v>9</v>
      </c>
      <c r="F27" s="25" t="str">
        <f t="shared" si="2"/>
        <v>Julio</v>
      </c>
      <c r="G27" s="45">
        <v>9</v>
      </c>
      <c r="H27" s="34"/>
      <c r="J27" s="14" t="s">
        <v>18</v>
      </c>
      <c r="K27" s="28">
        <f t="shared" si="3"/>
        <v>18330.000000000004</v>
      </c>
      <c r="M27" s="14" t="s">
        <v>18</v>
      </c>
      <c r="N27" s="28">
        <f t="shared" si="4"/>
        <v>5076.0000000000009</v>
      </c>
    </row>
    <row r="28" spans="2:14" x14ac:dyDescent="0.3">
      <c r="B28" s="14" t="s">
        <v>19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18800.000000000004</v>
      </c>
      <c r="D28" s="24">
        <f>IF($G$16="Agosto",$G$17,G28)</f>
        <v>6</v>
      </c>
      <c r="F28" s="25" t="str">
        <f t="shared" si="2"/>
        <v>Agosto</v>
      </c>
      <c r="G28" s="45">
        <v>6</v>
      </c>
      <c r="H28" s="34"/>
      <c r="J28" s="14" t="s">
        <v>19</v>
      </c>
      <c r="K28" s="28">
        <f t="shared" si="3"/>
        <v>12220.000000000004</v>
      </c>
      <c r="M28" s="14" t="s">
        <v>19</v>
      </c>
      <c r="N28" s="28">
        <f t="shared" si="4"/>
        <v>3384.0000000000005</v>
      </c>
    </row>
    <row r="29" spans="2:14" x14ac:dyDescent="0.3">
      <c r="B29" s="14" t="s">
        <v>20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31333.333333333339</v>
      </c>
      <c r="D29" s="24">
        <f>IF($G$16="Septiembre",$G$17,G29)</f>
        <v>10</v>
      </c>
      <c r="F29" s="25" t="str">
        <f t="shared" si="2"/>
        <v>Septiembre</v>
      </c>
      <c r="G29" s="45">
        <v>10</v>
      </c>
      <c r="H29" s="34"/>
      <c r="J29" s="14" t="s">
        <v>20</v>
      </c>
      <c r="K29" s="28">
        <f t="shared" si="3"/>
        <v>20366.666666666672</v>
      </c>
      <c r="M29" s="14" t="s">
        <v>20</v>
      </c>
      <c r="N29" s="28">
        <f t="shared" si="4"/>
        <v>5640.0000000000009</v>
      </c>
    </row>
    <row r="30" spans="2:14" ht="14.4" customHeight="1" x14ac:dyDescent="0.3">
      <c r="B30" s="14" t="s">
        <v>21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25066.666666666672</v>
      </c>
      <c r="D30" s="24">
        <f>IF($G$16="Octubre",$G$17,G30)</f>
        <v>8</v>
      </c>
      <c r="F30" s="25" t="str">
        <f t="shared" si="2"/>
        <v>Octubre</v>
      </c>
      <c r="G30" s="45">
        <v>8</v>
      </c>
      <c r="H30" s="34"/>
      <c r="J30" s="14" t="s">
        <v>21</v>
      </c>
      <c r="K30" s="28">
        <f t="shared" si="3"/>
        <v>16293.333333333338</v>
      </c>
      <c r="M30" s="14" t="s">
        <v>21</v>
      </c>
      <c r="N30" s="28">
        <f t="shared" si="4"/>
        <v>4512.0000000000009</v>
      </c>
    </row>
    <row r="31" spans="2:14" x14ac:dyDescent="0.3">
      <c r="B31" s="14" t="s">
        <v>22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15666.66666666667</v>
      </c>
      <c r="D31" s="24">
        <f>IF($G$16="Noviembre",$G$17,G31)</f>
        <v>5</v>
      </c>
      <c r="F31" s="25" t="str">
        <f t="shared" si="2"/>
        <v>Noviembre</v>
      </c>
      <c r="G31" s="45">
        <v>5</v>
      </c>
      <c r="H31" s="34"/>
      <c r="J31" s="14" t="s">
        <v>22</v>
      </c>
      <c r="K31" s="28">
        <f t="shared" si="3"/>
        <v>10183.333333333336</v>
      </c>
      <c r="M31" s="14" t="s">
        <v>22</v>
      </c>
      <c r="N31" s="28">
        <f t="shared" si="4"/>
        <v>2820.0000000000005</v>
      </c>
    </row>
    <row r="32" spans="2:14" x14ac:dyDescent="0.3">
      <c r="B32" s="14" t="s">
        <v>23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25066.666666666672</v>
      </c>
      <c r="D32" s="24">
        <f>IF($G$16="Diciembre",$G$17,G32)</f>
        <v>8</v>
      </c>
      <c r="F32" s="25" t="str">
        <f t="shared" si="2"/>
        <v>Diciembre</v>
      </c>
      <c r="G32" s="45">
        <v>8</v>
      </c>
      <c r="H32" s="34"/>
      <c r="J32" s="14" t="s">
        <v>23</v>
      </c>
      <c r="K32" s="28">
        <f t="shared" si="3"/>
        <v>16293.333333333338</v>
      </c>
      <c r="M32" s="14" t="s">
        <v>23</v>
      </c>
      <c r="N32" s="28">
        <f t="shared" si="4"/>
        <v>4512.0000000000009</v>
      </c>
    </row>
    <row r="33" spans="2:14" x14ac:dyDescent="0.3">
      <c r="B33" s="97" t="s">
        <v>24</v>
      </c>
      <c r="C33" s="98">
        <f>SUM(C21:C32)</f>
        <v>253800</v>
      </c>
      <c r="D33" s="99">
        <v>1</v>
      </c>
      <c r="J33" s="97" t="s">
        <v>24</v>
      </c>
      <c r="K33" s="100">
        <f>SUM(K21:K32)</f>
        <v>164970.00000000006</v>
      </c>
      <c r="M33" s="97" t="s">
        <v>24</v>
      </c>
      <c r="N33" s="100">
        <f>SUM(N21:N32)</f>
        <v>45684.000000000007</v>
      </c>
    </row>
  </sheetData>
  <sheetProtection algorithmName="SHA-512" hashValue="/EyE0J7r4b6WMCDdubge6fCjp6P4A342BmN8LWnd03k5fWwL75YIP7Rd79y2xkpkdRPdcOMmXZt4RM/wVBxxAw==" saltValue="D8mVJfEjwMaSWDzfC6Fpmw==" spinCount="100000" sheet="1" objects="1" scenarios="1" selectLockedCells="1"/>
  <mergeCells count="5">
    <mergeCell ref="I3:O3"/>
    <mergeCell ref="J20:K20"/>
    <mergeCell ref="M20:N20"/>
    <mergeCell ref="B20:D20"/>
    <mergeCell ref="I11:O11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K11" sqref="K1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29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33" t="str">
        <f>IF(Q7="SI","SU NEGOCIO PUEDE SER FRANQUICIADO","SU NEGOCIO NO PUEDE SER FRANQUICIADO")</f>
        <v>SU NEGOCIO PUEDE SER FRANQUICIADO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2:17" ht="7.8" customHeight="1" x14ac:dyDescent="0.3"/>
    <row r="3" spans="2:17" ht="21" x14ac:dyDescent="0.4">
      <c r="B3" s="20">
        <v>1</v>
      </c>
      <c r="C3" s="20" t="s">
        <v>79</v>
      </c>
      <c r="I3" s="20">
        <v>2</v>
      </c>
      <c r="J3" s="20" t="s">
        <v>81</v>
      </c>
      <c r="O3" s="20" t="s">
        <v>93</v>
      </c>
      <c r="P3" s="20"/>
      <c r="Q3" s="20"/>
    </row>
    <row r="4" spans="2:17" x14ac:dyDescent="0.3">
      <c r="B4" s="19" t="s">
        <v>80</v>
      </c>
      <c r="I4" s="19" t="s">
        <v>101</v>
      </c>
      <c r="O4" s="51" t="str">
        <f>IF((L21/L17)&gt;15%,"Su negocio SI PUEDE SER FRANQUICIABLE.","Su negocio NO PUEDE SER FRANQUICIABLE.")</f>
        <v>Su negocio SI PUEDE SER FRANQUICIABLE.</v>
      </c>
    </row>
    <row r="5" spans="2:17" x14ac:dyDescent="0.3">
      <c r="I5" s="19" t="s">
        <v>103</v>
      </c>
      <c r="O5" s="51" t="str">
        <f>IF((L21/L17)&gt;15%,"Ventajas competitivas a multiplicar:","Lo que debemos analizar:")</f>
        <v>Ventajas competitivas a multiplicar:</v>
      </c>
    </row>
    <row r="6" spans="2:17" ht="15.6" x14ac:dyDescent="0.3">
      <c r="C6" s="134" t="s">
        <v>7</v>
      </c>
      <c r="D6" s="135"/>
      <c r="E6" s="135"/>
      <c r="F6" s="136"/>
      <c r="G6" s="58"/>
      <c r="I6" s="19" t="s">
        <v>102</v>
      </c>
    </row>
    <row r="7" spans="2:17" x14ac:dyDescent="0.3">
      <c r="C7" s="14" t="s">
        <v>9</v>
      </c>
      <c r="D7" s="16">
        <f>'Presupuesto Anual Franquicias'!C21</f>
        <v>25066.666666666672</v>
      </c>
      <c r="E7" s="15">
        <f>'Presupuesto Anual Franquicias'!D21</f>
        <v>8</v>
      </c>
      <c r="F7" s="128" t="s">
        <v>10</v>
      </c>
      <c r="G7" s="59"/>
      <c r="O7" s="107"/>
      <c r="P7" s="108" t="s">
        <v>104</v>
      </c>
      <c r="Q7" s="114" t="str">
        <f>IF((L21/L17)&gt;15%,"SI","NO")</f>
        <v>SI</v>
      </c>
    </row>
    <row r="8" spans="2:17" x14ac:dyDescent="0.3">
      <c r="C8" s="14" t="s">
        <v>12</v>
      </c>
      <c r="D8" s="16">
        <f>'Presupuesto Anual Franquicias'!C22</f>
        <v>21933.333333333339</v>
      </c>
      <c r="E8" s="15">
        <f>'Presupuesto Anual Franquicias'!D22</f>
        <v>7</v>
      </c>
      <c r="F8" s="128"/>
      <c r="G8" s="59"/>
      <c r="J8" s="130" t="s">
        <v>5</v>
      </c>
      <c r="K8" s="131"/>
      <c r="L8" s="132"/>
      <c r="O8" s="109"/>
      <c r="P8" s="110" t="s">
        <v>86</v>
      </c>
      <c r="Q8" s="52">
        <f>J30</f>
        <v>1.5340277777777782</v>
      </c>
    </row>
    <row r="9" spans="2:17" x14ac:dyDescent="0.3">
      <c r="C9" s="14" t="s">
        <v>13</v>
      </c>
      <c r="D9" s="16">
        <f>'Presupuesto Anual Franquicias'!C23</f>
        <v>18800.000000000004</v>
      </c>
      <c r="E9" s="15">
        <f>'Presupuesto Anual Franquicias'!D23</f>
        <v>6</v>
      </c>
      <c r="F9" s="128"/>
      <c r="G9" s="59"/>
      <c r="J9" s="7" t="s">
        <v>0</v>
      </c>
      <c r="K9" s="8" t="s">
        <v>1</v>
      </c>
      <c r="L9" s="9" t="s">
        <v>2</v>
      </c>
      <c r="O9" s="109"/>
      <c r="P9" s="110" t="s">
        <v>87</v>
      </c>
      <c r="Q9" s="52">
        <f>J31</f>
        <v>2.5</v>
      </c>
    </row>
    <row r="10" spans="2:17" x14ac:dyDescent="0.3">
      <c r="C10" s="14" t="s">
        <v>15</v>
      </c>
      <c r="D10" s="16">
        <f>'Presupuesto Anual Franquicias'!C24</f>
        <v>18800.000000000004</v>
      </c>
      <c r="E10" s="15">
        <f>'Presupuesto Anual Franquicias'!D24</f>
        <v>6</v>
      </c>
      <c r="F10" s="128"/>
      <c r="G10" s="59"/>
      <c r="J10" s="42">
        <f>'Multiplicando su Negocio'!D19</f>
        <v>0.25</v>
      </c>
      <c r="K10" s="10">
        <f>+J10+$K$11</f>
        <v>0.4</v>
      </c>
      <c r="L10" s="11">
        <f>+K10+$K$11</f>
        <v>0.55000000000000004</v>
      </c>
      <c r="O10" s="109"/>
      <c r="P10" s="110" t="s">
        <v>141</v>
      </c>
      <c r="Q10" s="52">
        <f>J34</f>
        <v>26.666666666666668</v>
      </c>
    </row>
    <row r="11" spans="2:17" x14ac:dyDescent="0.3">
      <c r="C11" s="14" t="s">
        <v>16</v>
      </c>
      <c r="D11" s="16">
        <f>'Presupuesto Anual Franquicias'!C25</f>
        <v>15666.66666666667</v>
      </c>
      <c r="E11" s="15">
        <f>'Presupuesto Anual Franquicias'!D25</f>
        <v>5</v>
      </c>
      <c r="F11" s="128"/>
      <c r="G11" s="59"/>
      <c r="J11" s="12" t="s">
        <v>6</v>
      </c>
      <c r="K11" s="50">
        <v>0.15</v>
      </c>
      <c r="L11" s="13"/>
      <c r="O11" s="109"/>
      <c r="P11" s="110" t="s">
        <v>89</v>
      </c>
      <c r="Q11" s="28">
        <f>J20</f>
        <v>48.958333333333343</v>
      </c>
    </row>
    <row r="12" spans="2:17" x14ac:dyDescent="0.3">
      <c r="C12" s="14" t="s">
        <v>17</v>
      </c>
      <c r="D12" s="16">
        <f>'Presupuesto Anual Franquicias'!C26</f>
        <v>9400.0000000000018</v>
      </c>
      <c r="E12" s="15">
        <f>'Presupuesto Anual Franquicias'!D26</f>
        <v>3</v>
      </c>
      <c r="F12" s="128"/>
      <c r="G12" s="59"/>
      <c r="O12" s="109"/>
      <c r="P12" s="110" t="s">
        <v>88</v>
      </c>
      <c r="Q12" s="52">
        <f>J26</f>
        <v>1.9583333333333337</v>
      </c>
    </row>
    <row r="13" spans="2:17" x14ac:dyDescent="0.3">
      <c r="C13" s="14" t="s">
        <v>18</v>
      </c>
      <c r="D13" s="16">
        <f>'Presupuesto Anual Franquicias'!C27</f>
        <v>28200.000000000004</v>
      </c>
      <c r="E13" s="15">
        <f>'Presupuesto Anual Franquicias'!D27</f>
        <v>9</v>
      </c>
      <c r="F13" s="128"/>
      <c r="G13" s="59"/>
      <c r="I13" s="19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109"/>
      <c r="P13" s="110" t="s">
        <v>90</v>
      </c>
      <c r="Q13" s="28">
        <f>Q11*E34</f>
        <v>8.3229166666666643</v>
      </c>
    </row>
    <row r="14" spans="2:17" ht="18" x14ac:dyDescent="0.35">
      <c r="C14" s="14" t="s">
        <v>19</v>
      </c>
      <c r="D14" s="16">
        <f>'Presupuesto Anual Franquicias'!C28</f>
        <v>18800.000000000004</v>
      </c>
      <c r="E14" s="15">
        <f>'Presupuesto Anual Franquicias'!D28</f>
        <v>6</v>
      </c>
      <c r="F14" s="128"/>
      <c r="G14" s="59"/>
      <c r="J14" s="129" t="s">
        <v>70</v>
      </c>
      <c r="K14" s="129"/>
      <c r="L14" s="129"/>
      <c r="O14" s="109"/>
      <c r="P14" s="110" t="s">
        <v>91</v>
      </c>
      <c r="Q14" s="53">
        <f>Q13/Q11</f>
        <v>0.16999999999999993</v>
      </c>
    </row>
    <row r="15" spans="2:17" x14ac:dyDescent="0.3">
      <c r="C15" s="14" t="s">
        <v>20</v>
      </c>
      <c r="D15" s="16">
        <f>'Presupuesto Anual Franquicias'!C29</f>
        <v>31333.333333333339</v>
      </c>
      <c r="E15" s="15">
        <f>'Presupuesto Anual Franquicias'!D29</f>
        <v>10</v>
      </c>
      <c r="F15" s="128"/>
      <c r="G15" s="59"/>
      <c r="J15" s="137" t="s">
        <v>71</v>
      </c>
      <c r="K15" s="137"/>
      <c r="L15" s="137"/>
      <c r="O15" s="109"/>
      <c r="P15" s="110" t="s">
        <v>92</v>
      </c>
      <c r="Q15" s="54">
        <v>0.15</v>
      </c>
    </row>
    <row r="16" spans="2:17" x14ac:dyDescent="0.3">
      <c r="C16" s="14" t="s">
        <v>21</v>
      </c>
      <c r="D16" s="16">
        <f>'Presupuesto Anual Franquicias'!C30</f>
        <v>25066.666666666672</v>
      </c>
      <c r="E16" s="15">
        <f>'Presupuesto Anual Franquicias'!D30</f>
        <v>8</v>
      </c>
      <c r="F16" s="128"/>
      <c r="G16" s="59"/>
      <c r="J16" s="1" t="s">
        <v>0</v>
      </c>
      <c r="K16" s="2" t="s">
        <v>1</v>
      </c>
      <c r="L16" s="3" t="s">
        <v>2</v>
      </c>
      <c r="N16" s="2" t="s">
        <v>117</v>
      </c>
      <c r="O16" s="111"/>
      <c r="P16" s="112" t="str">
        <f>IF(Q14&gt;Q15,"Por arriba de la Industria:","Por debajo de la Industria:")</f>
        <v>Por arriba de la Industria:</v>
      </c>
      <c r="Q16" s="113">
        <f>Q14-Q15</f>
        <v>1.9999999999999934E-2</v>
      </c>
    </row>
    <row r="17" spans="3:17" x14ac:dyDescent="0.3">
      <c r="C17" s="14" t="s">
        <v>22</v>
      </c>
      <c r="D17" s="16">
        <f>'Presupuesto Anual Franquicias'!C31</f>
        <v>15666.66666666667</v>
      </c>
      <c r="E17" s="15">
        <f>'Presupuesto Anual Franquicias'!D31</f>
        <v>5</v>
      </c>
      <c r="F17" s="128"/>
      <c r="G17" s="59"/>
      <c r="H17" s="72"/>
      <c r="I17" s="73" t="s">
        <v>82</v>
      </c>
      <c r="J17" s="74">
        <f>MIN('Presupuesto Anual Franquicias'!$C$21:$C$32)</f>
        <v>9400.0000000000018</v>
      </c>
      <c r="K17" s="74">
        <f>AVERAGE(J17,L17)</f>
        <v>20366.666666666672</v>
      </c>
      <c r="L17" s="74">
        <f>MAX('Presupuesto Anual Franquicias'!$C$21:$C$32)</f>
        <v>31333.333333333339</v>
      </c>
      <c r="N17" s="5">
        <f>N18*'Multiplicando su Negocio'!D29</f>
        <v>9400.0000000000018</v>
      </c>
    </row>
    <row r="18" spans="3:17" ht="21" x14ac:dyDescent="0.4">
      <c r="C18" s="76" t="s">
        <v>23</v>
      </c>
      <c r="D18" s="77">
        <f>'Presupuesto Anual Franquicias'!C32</f>
        <v>25066.666666666672</v>
      </c>
      <c r="E18" s="78">
        <f>'Presupuesto Anual Franquicias'!D32</f>
        <v>8</v>
      </c>
      <c r="F18" s="128"/>
      <c r="G18" s="59"/>
      <c r="H18" s="72"/>
      <c r="I18" s="73" t="s">
        <v>83</v>
      </c>
      <c r="J18" s="74">
        <f>J19*'Multiplicando su Negocio'!$D$27</f>
        <v>2350.0000000000005</v>
      </c>
      <c r="K18" s="74">
        <f>K19*'Multiplicando su Negocio'!$D$27</f>
        <v>5091.6666666666679</v>
      </c>
      <c r="L18" s="74">
        <f>L19*'Multiplicando su Negocio'!$D$27</f>
        <v>7833.3333333333358</v>
      </c>
      <c r="N18" s="5">
        <f>N19*'Multiplicando su Negocio'!D27</f>
        <v>2350.0000000000005</v>
      </c>
      <c r="O18" s="20" t="s">
        <v>100</v>
      </c>
      <c r="P18" s="20"/>
      <c r="Q18" s="20"/>
    </row>
    <row r="19" spans="3:17" x14ac:dyDescent="0.3">
      <c r="C19" s="97" t="s">
        <v>24</v>
      </c>
      <c r="D19" s="98">
        <f>SUM(D7:D18)</f>
        <v>253800</v>
      </c>
      <c r="E19" s="99">
        <v>1</v>
      </c>
      <c r="F19" s="106"/>
      <c r="G19" s="60"/>
      <c r="H19" s="72"/>
      <c r="I19" s="73" t="s">
        <v>84</v>
      </c>
      <c r="J19" s="74">
        <f>J20*'Multiplicando su Negocio'!$D$28</f>
        <v>391.66666666666674</v>
      </c>
      <c r="K19" s="74">
        <f>K20*'Multiplicando su Negocio'!$D$28</f>
        <v>848.61111111111131</v>
      </c>
      <c r="L19" s="74">
        <f>L20*'Multiplicando su Negocio'!$D$28</f>
        <v>1305.5555555555559</v>
      </c>
      <c r="N19" s="5">
        <f>J20*'Multiplicando su Negocio'!D28</f>
        <v>391.66666666666674</v>
      </c>
      <c r="O19" s="19" t="s">
        <v>105</v>
      </c>
      <c r="P19" s="51"/>
    </row>
    <row r="20" spans="3:17" x14ac:dyDescent="0.3">
      <c r="H20" s="72"/>
      <c r="I20" s="73" t="s">
        <v>85</v>
      </c>
      <c r="J20" s="74">
        <f>J22*J26</f>
        <v>48.958333333333343</v>
      </c>
      <c r="K20" s="74">
        <f>K22*K26</f>
        <v>106.07638888888891</v>
      </c>
      <c r="L20" s="74">
        <f>L22*L26</f>
        <v>163.19444444444449</v>
      </c>
      <c r="N20" s="5">
        <f>N19/'Multiplicando su Negocio'!D28</f>
        <v>48.958333333333343</v>
      </c>
      <c r="O20" s="19" t="s">
        <v>106</v>
      </c>
    </row>
    <row r="21" spans="3:17" ht="15.6" x14ac:dyDescent="0.3">
      <c r="C21" s="134" t="s">
        <v>8</v>
      </c>
      <c r="D21" s="135"/>
      <c r="E21" s="135"/>
      <c r="F21" s="136"/>
      <c r="G21" s="58"/>
      <c r="H21" s="64"/>
      <c r="I21" s="63" t="s">
        <v>3</v>
      </c>
      <c r="J21" s="65">
        <f>+J17*'Presupuesto Anual Franquicias'!$P$10</f>
        <v>1597.9999999999993</v>
      </c>
      <c r="K21" s="65">
        <f>+K17*'Presupuesto Anual Franquicias'!$P$10</f>
        <v>3462.3333333333321</v>
      </c>
      <c r="L21" s="65">
        <f>+L17*'Presupuesto Anual Franquicias'!$P$10</f>
        <v>5326.6666666666642</v>
      </c>
      <c r="O21" s="107"/>
      <c r="P21" s="108" t="s">
        <v>98</v>
      </c>
      <c r="Q21" s="55">
        <v>0.45</v>
      </c>
    </row>
    <row r="22" spans="3:17" ht="14.4" customHeight="1" x14ac:dyDescent="0.3">
      <c r="C22" s="14" t="s">
        <v>9</v>
      </c>
      <c r="D22" s="16">
        <f>D7*$E$34</f>
        <v>4261.3333333333321</v>
      </c>
      <c r="E22" s="15">
        <f t="shared" ref="E22:E33" si="0">E7</f>
        <v>8</v>
      </c>
      <c r="F22" s="128" t="s">
        <v>11</v>
      </c>
      <c r="G22" s="59"/>
      <c r="H22" s="64"/>
      <c r="I22" s="63" t="s">
        <v>4</v>
      </c>
      <c r="J22" s="65">
        <f>'Multiplicando su Negocio'!$D$10</f>
        <v>25</v>
      </c>
      <c r="K22" s="65">
        <f>(J22*$K$11)+$J$22</f>
        <v>28.75</v>
      </c>
      <c r="L22" s="65">
        <f>(K22*$K$11)+$J$22</f>
        <v>29.3125</v>
      </c>
      <c r="O22" s="109"/>
      <c r="P22" s="110" t="s">
        <v>94</v>
      </c>
      <c r="Q22" s="28">
        <f>J17*Q21</f>
        <v>4230.0000000000009</v>
      </c>
    </row>
    <row r="23" spans="3:17" x14ac:dyDescent="0.3">
      <c r="C23" s="14" t="s">
        <v>12</v>
      </c>
      <c r="D23" s="16">
        <f t="shared" ref="D23:D33" si="1">D8*$E$34</f>
        <v>3728.6666666666656</v>
      </c>
      <c r="E23" s="15">
        <f t="shared" si="0"/>
        <v>7</v>
      </c>
      <c r="F23" s="128"/>
      <c r="G23" s="59"/>
      <c r="H23" s="56"/>
      <c r="I23" s="57" t="s">
        <v>107</v>
      </c>
      <c r="J23" s="61">
        <f>J17/J22</f>
        <v>376.00000000000006</v>
      </c>
      <c r="K23" s="61">
        <f>K17/K22</f>
        <v>708.40579710144948</v>
      </c>
      <c r="L23" s="61">
        <f>L17/L22</f>
        <v>1068.9410092395169</v>
      </c>
      <c r="N23" s="5"/>
      <c r="O23" s="109"/>
      <c r="P23" s="110" t="s">
        <v>96</v>
      </c>
      <c r="Q23" s="11">
        <v>0.05</v>
      </c>
    </row>
    <row r="24" spans="3:17" x14ac:dyDescent="0.3">
      <c r="C24" s="14" t="s">
        <v>13</v>
      </c>
      <c r="D24" s="16">
        <f t="shared" si="1"/>
        <v>3195.9999999999986</v>
      </c>
      <c r="E24" s="15">
        <f t="shared" si="0"/>
        <v>6</v>
      </c>
      <c r="F24" s="128"/>
      <c r="G24" s="59"/>
      <c r="H24" s="56"/>
      <c r="I24" s="57" t="s">
        <v>108</v>
      </c>
      <c r="J24" s="61">
        <f>J23/'Multiplicando su Negocio'!$D$29</f>
        <v>94.000000000000014</v>
      </c>
      <c r="K24" s="61">
        <f>K23/'Multiplicando su Negocio'!$D$29</f>
        <v>177.10144927536237</v>
      </c>
      <c r="L24" s="61">
        <f>L23/'Multiplicando su Negocio'!$D$29</f>
        <v>267.23525230987923</v>
      </c>
      <c r="N24" s="5">
        <f>J23*$J$22</f>
        <v>9400.0000000000018</v>
      </c>
      <c r="O24" s="109"/>
      <c r="P24" s="110" t="s">
        <v>95</v>
      </c>
      <c r="Q24" s="28">
        <f>Q22*Q23</f>
        <v>211.50000000000006</v>
      </c>
    </row>
    <row r="25" spans="3:17" x14ac:dyDescent="0.3">
      <c r="C25" s="14" t="s">
        <v>15</v>
      </c>
      <c r="D25" s="16">
        <f t="shared" si="1"/>
        <v>3195.9999999999986</v>
      </c>
      <c r="E25" s="15">
        <f t="shared" si="0"/>
        <v>6</v>
      </c>
      <c r="F25" s="128"/>
      <c r="G25" s="59"/>
      <c r="H25" s="56"/>
      <c r="I25" s="57" t="s">
        <v>109</v>
      </c>
      <c r="J25" s="61">
        <f>J24/'Multiplicando su Negocio'!$D$27</f>
        <v>15.66666666666667</v>
      </c>
      <c r="K25" s="61">
        <f>K24/'Multiplicando su Negocio'!$D$27</f>
        <v>29.516908212560395</v>
      </c>
      <c r="L25" s="61">
        <f>L24/'Multiplicando su Negocio'!$D$27</f>
        <v>44.539208718313205</v>
      </c>
      <c r="N25" s="5">
        <f>J24*$J$22</f>
        <v>2350.0000000000005</v>
      </c>
      <c r="O25" s="109"/>
      <c r="P25" s="110" t="s">
        <v>97</v>
      </c>
      <c r="Q25" s="52">
        <v>15</v>
      </c>
    </row>
    <row r="26" spans="3:17" x14ac:dyDescent="0.3">
      <c r="C26" s="14" t="s">
        <v>16</v>
      </c>
      <c r="D26" s="16">
        <f t="shared" si="1"/>
        <v>2663.3333333333321</v>
      </c>
      <c r="E26" s="15">
        <f t="shared" si="0"/>
        <v>5</v>
      </c>
      <c r="F26" s="128"/>
      <c r="G26" s="59"/>
      <c r="H26" s="56"/>
      <c r="I26" s="57" t="s">
        <v>110</v>
      </c>
      <c r="J26" s="61">
        <f>J25/'Multiplicando su Negocio'!$D$28</f>
        <v>1.9583333333333337</v>
      </c>
      <c r="K26" s="61">
        <f>K25/'Multiplicando su Negocio'!$D$28</f>
        <v>3.6896135265700494</v>
      </c>
      <c r="L26" s="61">
        <f>L25/'Multiplicando su Negocio'!$D$28</f>
        <v>5.5674010897891506</v>
      </c>
      <c r="N26" s="5">
        <f>J25*$J$22</f>
        <v>391.66666666666674</v>
      </c>
      <c r="O26" s="111"/>
      <c r="P26" s="112" t="s">
        <v>99</v>
      </c>
      <c r="Q26" s="115">
        <f>Q24*Q25</f>
        <v>3172.5000000000009</v>
      </c>
    </row>
    <row r="27" spans="3:17" x14ac:dyDescent="0.3">
      <c r="C27" s="14" t="s">
        <v>17</v>
      </c>
      <c r="D27" s="16">
        <f t="shared" si="1"/>
        <v>1597.9999999999993</v>
      </c>
      <c r="E27" s="15">
        <f t="shared" si="0"/>
        <v>3</v>
      </c>
      <c r="F27" s="128"/>
      <c r="G27" s="59"/>
      <c r="H27" s="67"/>
      <c r="I27" s="66" t="s">
        <v>112</v>
      </c>
      <c r="J27" s="68">
        <f>J28*'Multiplicando su Negocio'!$D$29</f>
        <v>294.53333333333342</v>
      </c>
      <c r="K27" s="68">
        <f>K28*'Multiplicando su Negocio'!$D$29</f>
        <v>554.9178743961354</v>
      </c>
      <c r="L27" s="68">
        <f>L28*'Multiplicando su Negocio'!$D$29</f>
        <v>837.33712390428832</v>
      </c>
      <c r="N27" s="5">
        <f>J26*$J$22</f>
        <v>48.958333333333343</v>
      </c>
    </row>
    <row r="28" spans="3:17" x14ac:dyDescent="0.3">
      <c r="C28" s="14" t="s">
        <v>18</v>
      </c>
      <c r="D28" s="16">
        <f t="shared" si="1"/>
        <v>4793.9999999999982</v>
      </c>
      <c r="E28" s="15">
        <f t="shared" si="0"/>
        <v>9</v>
      </c>
      <c r="F28" s="128"/>
      <c r="G28" s="59"/>
      <c r="H28" s="67"/>
      <c r="I28" s="66" t="s">
        <v>113</v>
      </c>
      <c r="J28" s="68">
        <f>J29*'Multiplicando su Negocio'!$D$27</f>
        <v>73.633333333333354</v>
      </c>
      <c r="K28" s="68">
        <f>K29*'Multiplicando su Negocio'!$D$27</f>
        <v>138.72946859903385</v>
      </c>
      <c r="L28" s="68">
        <f>L29*'Multiplicando su Negocio'!$D$27</f>
        <v>209.33428097607208</v>
      </c>
      <c r="N28" s="5">
        <f>(J27*$J$22)*'Multiplicando su Negocio'!$D$30</f>
        <v>9400.0000000000018</v>
      </c>
    </row>
    <row r="29" spans="3:17" x14ac:dyDescent="0.3">
      <c r="C29" s="14" t="s">
        <v>19</v>
      </c>
      <c r="D29" s="16">
        <f t="shared" si="1"/>
        <v>3195.9999999999986</v>
      </c>
      <c r="E29" s="15">
        <f t="shared" si="0"/>
        <v>6</v>
      </c>
      <c r="F29" s="128"/>
      <c r="G29" s="59"/>
      <c r="H29" s="67"/>
      <c r="I29" s="66" t="s">
        <v>114</v>
      </c>
      <c r="J29" s="68">
        <f>J30*'Multiplicando su Negocio'!$D$28</f>
        <v>12.272222222222226</v>
      </c>
      <c r="K29" s="68">
        <f>K30*'Multiplicando su Negocio'!$D$28</f>
        <v>23.121578099838977</v>
      </c>
      <c r="L29" s="68">
        <f>L30*'Multiplicando su Negocio'!$D$28</f>
        <v>34.889046829345347</v>
      </c>
      <c r="N29" s="5">
        <f>(J28*$J$22)*'Multiplicando su Negocio'!$D$30</f>
        <v>2350.0000000000005</v>
      </c>
    </row>
    <row r="30" spans="3:17" x14ac:dyDescent="0.3">
      <c r="C30" s="14" t="s">
        <v>20</v>
      </c>
      <c r="D30" s="16">
        <f t="shared" si="1"/>
        <v>5326.6666666666642</v>
      </c>
      <c r="E30" s="15">
        <f t="shared" si="0"/>
        <v>10</v>
      </c>
      <c r="F30" s="128"/>
      <c r="G30" s="59"/>
      <c r="H30" s="67"/>
      <c r="I30" s="66" t="s">
        <v>115</v>
      </c>
      <c r="J30" s="68">
        <f>J26/'Multiplicando su Negocio'!$D$30</f>
        <v>1.5340277777777782</v>
      </c>
      <c r="K30" s="68">
        <f>K26/'Multiplicando su Negocio'!$D$30</f>
        <v>2.8901972624798722</v>
      </c>
      <c r="L30" s="68">
        <f>L26/'Multiplicando su Negocio'!$D$30</f>
        <v>4.3611308536681683</v>
      </c>
      <c r="N30" s="5">
        <f>(J29*$J$22)*'Multiplicando su Negocio'!$D$30</f>
        <v>391.66666666666674</v>
      </c>
    </row>
    <row r="31" spans="3:17" x14ac:dyDescent="0.3">
      <c r="C31" s="14" t="s">
        <v>21</v>
      </c>
      <c r="D31" s="16">
        <f t="shared" si="1"/>
        <v>4261.3333333333321</v>
      </c>
      <c r="E31" s="15">
        <f t="shared" si="0"/>
        <v>8</v>
      </c>
      <c r="F31" s="128"/>
      <c r="G31" s="59"/>
      <c r="H31" s="70"/>
      <c r="I31" s="62" t="s">
        <v>111</v>
      </c>
      <c r="J31" s="69">
        <f>J26*'Multiplicando su Negocio'!$D$30</f>
        <v>2.5</v>
      </c>
      <c r="K31" s="69">
        <f>K26*'Multiplicando su Negocio'!$D$30</f>
        <v>4.7101449275362324</v>
      </c>
      <c r="L31" s="69">
        <f>L26*'Multiplicando su Negocio'!$D$30</f>
        <v>7.1073205401563619</v>
      </c>
      <c r="N31" s="5">
        <f>(J30*$J$22)*'Multiplicando su Negocio'!$D$30</f>
        <v>48.958333333333343</v>
      </c>
    </row>
    <row r="32" spans="3:17" x14ac:dyDescent="0.3">
      <c r="C32" s="14" t="s">
        <v>22</v>
      </c>
      <c r="D32" s="16">
        <f t="shared" si="1"/>
        <v>2663.3333333333321</v>
      </c>
      <c r="E32" s="15">
        <f t="shared" si="0"/>
        <v>5</v>
      </c>
      <c r="F32" s="128"/>
      <c r="G32" s="59"/>
      <c r="H32" s="70"/>
      <c r="I32" s="62" t="s">
        <v>116</v>
      </c>
      <c r="J32" s="71">
        <f>J31*'Multiplicando su Negocio'!$D$28</f>
        <v>20</v>
      </c>
      <c r="K32" s="71">
        <f>K31*'Multiplicando su Negocio'!$D$28</f>
        <v>37.681159420289859</v>
      </c>
      <c r="L32" s="71">
        <f>L31*'Multiplicando su Negocio'!$D$28</f>
        <v>56.858564321250896</v>
      </c>
    </row>
    <row r="33" spans="3:12" x14ac:dyDescent="0.3">
      <c r="C33" s="14" t="s">
        <v>23</v>
      </c>
      <c r="D33" s="16">
        <f t="shared" si="1"/>
        <v>4261.3333333333321</v>
      </c>
      <c r="E33" s="15">
        <f t="shared" si="0"/>
        <v>8</v>
      </c>
      <c r="F33" s="128"/>
      <c r="G33" s="59"/>
      <c r="H33" s="70"/>
      <c r="I33" s="62" t="s">
        <v>139</v>
      </c>
      <c r="J33" s="71">
        <f>'Multiplicando su Negocio'!$D$16*J10</f>
        <v>0.75</v>
      </c>
      <c r="K33" s="71">
        <f>'Multiplicando su Negocio'!$D$16*K10</f>
        <v>1.2000000000000002</v>
      </c>
      <c r="L33" s="71">
        <f>'Multiplicando su Negocio'!$D$16*L10</f>
        <v>1.6500000000000001</v>
      </c>
    </row>
    <row r="34" spans="3:12" x14ac:dyDescent="0.3">
      <c r="C34" s="97" t="s">
        <v>24</v>
      </c>
      <c r="D34" s="98">
        <f>SUM(D22:D33)</f>
        <v>43145.999999999985</v>
      </c>
      <c r="E34" s="99">
        <f>'Presupuesto Anual Franquicias'!P10</f>
        <v>0.1699999999999999</v>
      </c>
      <c r="F34" s="106"/>
      <c r="G34" s="60"/>
      <c r="H34" s="70"/>
      <c r="I34" s="62" t="s">
        <v>140</v>
      </c>
      <c r="J34" s="71">
        <f>J32/J33</f>
        <v>26.666666666666668</v>
      </c>
      <c r="K34" s="71">
        <f t="shared" ref="K34:L34" si="2">K32/K33</f>
        <v>31.400966183574877</v>
      </c>
      <c r="L34" s="71">
        <f t="shared" si="2"/>
        <v>34.45973595227327</v>
      </c>
    </row>
  </sheetData>
  <sheetProtection algorithmName="SHA-512" hashValue="0H463AG3LG3apyvXEVYuAKXoJu5FlssRhhg5dVzFlSuQ0qUDe3kg+kLInlh5vjTHmp123UZaNyUjNKKKad4trQ==" saltValue="DMUaRF4w2ij1oXiaCvmfcg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2022-10-27T17:20:10Z</dcterms:modified>
</cp:coreProperties>
</file>