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Franquiciadores Centroamérica\Franquiciadores - División Franquiciantes\"/>
    </mc:Choice>
  </mc:AlternateContent>
  <xr:revisionPtr revIDLastSave="0" documentId="13_ncr:1_{46069699-46E0-4789-9D9E-ED4846965E1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cio" sheetId="7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0">Tabla36</definedName>
    <definedName name="A" localSheetId="1">Tabla36</definedName>
    <definedName name="A" localSheetId="2">Tabla36</definedName>
    <definedName name="A">Tabla36</definedName>
    <definedName name="ACCIDENTE" localSheetId="0">#REF!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" l="1"/>
  <c r="J10" i="1" l="1"/>
  <c r="K14" i="5" l="1"/>
  <c r="L10" i="5"/>
  <c r="M7" i="5" s="1"/>
  <c r="K10" i="5"/>
  <c r="K15" i="5" s="1"/>
  <c r="J33" i="1"/>
  <c r="M9" i="5" l="1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7" i="1" l="1"/>
  <c r="E18" i="1"/>
  <c r="E17" i="1"/>
  <c r="E16" i="1"/>
  <c r="E15" i="1"/>
  <c r="E13" i="1"/>
  <c r="E12" i="1"/>
  <c r="E11" i="1"/>
  <c r="E8" i="1"/>
  <c r="E9" i="1"/>
  <c r="D24" i="6"/>
  <c r="D28" i="6"/>
  <c r="J26" i="5"/>
  <c r="J20" i="5"/>
  <c r="E8" i="6" s="1"/>
  <c r="E14" i="1" l="1"/>
  <c r="E10" i="1"/>
  <c r="D20" i="5"/>
  <c r="D30" i="5" l="1"/>
  <c r="D18" i="5"/>
  <c r="K20" i="5" s="1"/>
  <c r="C21" i="6" l="1"/>
  <c r="D7" i="1" s="1"/>
  <c r="C31" i="6"/>
  <c r="D17" i="1" s="1"/>
  <c r="C29" i="6"/>
  <c r="D15" i="1" s="1"/>
  <c r="C26" i="6"/>
  <c r="D12" i="1" s="1"/>
  <c r="C22" i="6"/>
  <c r="D8" i="1" s="1"/>
  <c r="C23" i="6"/>
  <c r="D9" i="1" s="1"/>
  <c r="C32" i="6"/>
  <c r="D18" i="1" s="1"/>
  <c r="C30" i="6"/>
  <c r="D16" i="1" s="1"/>
  <c r="C27" i="6"/>
  <c r="D13" i="1" s="1"/>
  <c r="C25" i="6"/>
  <c r="D11" i="1" s="1"/>
  <c r="C28" i="6"/>
  <c r="D14" i="1" s="1"/>
  <c r="C24" i="6"/>
  <c r="D10" i="1" s="1"/>
  <c r="J22" i="1"/>
  <c r="K22" i="1" s="1"/>
  <c r="L22" i="1" s="1"/>
  <c r="K21" i="5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L10" i="1" l="1"/>
  <c r="L33" i="1" s="1"/>
  <c r="K33" i="1"/>
  <c r="K26" i="5"/>
  <c r="G8" i="6"/>
  <c r="K27" i="5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K29" i="5"/>
  <c r="K24" i="5"/>
  <c r="K30" i="5" s="1"/>
  <c r="N8" i="6" l="1"/>
  <c r="N7" i="6"/>
  <c r="K20" i="1"/>
  <c r="K19" i="1" s="1"/>
  <c r="K18" i="1" s="1"/>
  <c r="K30" i="1"/>
  <c r="K29" i="1" s="1"/>
  <c r="K28" i="1" s="1"/>
  <c r="K27" i="1" s="1"/>
  <c r="K31" i="1"/>
  <c r="L20" i="1"/>
  <c r="L19" i="1" s="1"/>
  <c r="L18" i="1" s="1"/>
  <c r="L31" i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K32" i="1"/>
  <c r="K34" i="1" s="1"/>
  <c r="L32" i="1"/>
  <c r="L34" i="1" s="1"/>
  <c r="N10" i="6"/>
  <c r="P10" i="6" s="1"/>
  <c r="E34" i="1" s="1"/>
  <c r="D19" i="1"/>
  <c r="D24" i="1" l="1"/>
  <c r="D31" i="1"/>
  <c r="D27" i="1"/>
  <c r="D23" i="1"/>
  <c r="D30" i="1"/>
  <c r="D26" i="1"/>
  <c r="D22" i="1"/>
  <c r="D33" i="1"/>
  <c r="D25" i="1"/>
  <c r="D32" i="1"/>
  <c r="D28" i="1"/>
  <c r="D29" i="1"/>
  <c r="J26" i="1"/>
  <c r="N27" i="1" s="1"/>
  <c r="L21" i="1"/>
  <c r="J21" i="1"/>
  <c r="K21" i="1"/>
  <c r="Q7" i="1" l="1"/>
  <c r="O4" i="1"/>
  <c r="J31" i="1"/>
  <c r="J30" i="1"/>
  <c r="N31" i="1" s="1"/>
  <c r="Q12" i="1"/>
  <c r="J20" i="1"/>
  <c r="N19" i="1" s="1"/>
  <c r="O5" i="1"/>
  <c r="I13" i="1" l="1"/>
  <c r="B1" i="1"/>
  <c r="N18" i="1"/>
  <c r="N17" i="1" s="1"/>
  <c r="N20" i="1"/>
  <c r="Q8" i="1"/>
  <c r="J29" i="1"/>
  <c r="N30" i="1" s="1"/>
  <c r="J19" i="1"/>
  <c r="J18" i="1" s="1"/>
  <c r="Q11" i="1"/>
  <c r="Q13" i="1" s="1"/>
  <c r="Q14" i="1" s="1"/>
  <c r="Q9" i="1"/>
  <c r="J32" i="1"/>
  <c r="J34" i="1" s="1"/>
  <c r="Q10" i="1" s="1"/>
  <c r="D34" i="1"/>
  <c r="J28" i="1" l="1"/>
  <c r="N29" i="1" s="1"/>
  <c r="P16" i="1"/>
  <c r="Q16" i="1"/>
  <c r="J27" i="1" l="1"/>
  <c r="N28" i="1" s="1"/>
</calcChain>
</file>

<file path=xl/sharedStrings.xml><?xml version="1.0" encoding="utf-8"?>
<sst xmlns="http://schemas.openxmlformats.org/spreadsheetml/2006/main" count="225" uniqueCount="149">
  <si>
    <t>BAJO</t>
  </si>
  <si>
    <t>MEDIO</t>
  </si>
  <si>
    <t>ALTO</t>
  </si>
  <si>
    <t>ganancias netas mes</t>
  </si>
  <si>
    <t>ticket promedio</t>
  </si>
  <si>
    <t>Ocupación de Mesas/Temporada</t>
  </si>
  <si>
    <t>Aumento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</si>
  <si>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</si>
  <si>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</si>
  <si>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</si>
  <si>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</si>
  <si>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</si>
  <si>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</si>
  <si>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</si>
  <si>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</si>
  <si>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</si>
  <si>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</si>
  <si>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</si>
  <si>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</si>
  <si>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</si>
  <si>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</si>
  <si>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</si>
  <si>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</si>
  <si>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</si>
  <si>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</si>
  <si>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</si>
  <si>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</si>
  <si>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Ticket Promedio</t>
  </si>
  <si>
    <t>Examinando su capacidad de atención</t>
  </si>
  <si>
    <t>¿Cuántas semanas al mes abre?</t>
  </si>
  <si>
    <t>Cálculo promedio mensual de sus ingresos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</si>
  <si>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</si>
  <si>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</si>
  <si>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</si>
  <si>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</si>
  <si>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(promedio al mes)</t>
  </si>
  <si>
    <t>(promedio a la semana)</t>
  </si>
  <si>
    <t>(promedio al día)</t>
  </si>
  <si>
    <t>(promedio por hora)</t>
  </si>
  <si>
    <t>Clientes a atender</t>
  </si>
  <si>
    <t>En promedio, ¿cuántos productos se venden por cliente?</t>
  </si>
  <si>
    <t>Días que su negocio abre a la semana</t>
  </si>
  <si>
    <t>Horas Laborales del Local por día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</si>
  <si>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</si>
  <si>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</si>
  <si>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</si>
  <si>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</si>
  <si>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</si>
  <si>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</si>
  <si>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</si>
  <si>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</si>
  <si>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</si>
  <si>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</si>
  <si>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</si>
  <si>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</si>
  <si>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</si>
  <si>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</si>
  <si>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</si>
  <si>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</si>
  <si>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</si>
  <si>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</si>
  <si>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</si>
  <si>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</si>
  <si>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</si>
  <si>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</si>
  <si>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</si>
  <si>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</si>
  <si>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</si>
  <si>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</si>
  <si>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</si>
  <si>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</si>
  <si>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</si>
  <si>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Comportamiento Potencial de Franquicia</t>
  </si>
  <si>
    <t>Cálculo promedio del precio de venta</t>
  </si>
  <si>
    <t>Precio de venta más alto</t>
  </si>
  <si>
    <t>Precio de venta más bajo</t>
  </si>
  <si>
    <t>Precio de venta medio</t>
  </si>
  <si>
    <t>Precio promedio de venta</t>
  </si>
  <si>
    <t>Ticket Promedio por Persona</t>
  </si>
  <si>
    <t>Nota: EBITDA es un resultado de ganancias antes de impuestos, amortizaciones y depreciaciones.</t>
  </si>
  <si>
    <t>Ingresos versus Ganancias por mes, anual</t>
  </si>
  <si>
    <t>Logre identificar cuánto ingresa su negocio al mes y cuánto debe ganar.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</si>
  <si>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</si>
  <si>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</si>
  <si>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</si>
  <si>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</si>
  <si>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ingresos brutos por hora (por ventas)</t>
  </si>
  <si>
    <t>Clientes por Hora:</t>
  </si>
  <si>
    <t>Facturaciones por Hora:</t>
  </si>
  <si>
    <t>Ingresos por Hora:</t>
  </si>
  <si>
    <t>Ganancias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</si>
  <si>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</si>
  <si>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</si>
  <si>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</si>
  <si>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</si>
  <si>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</si>
  <si>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</si>
  <si>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</si>
  <si>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</si>
  <si>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</si>
  <si>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</si>
  <si>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</si>
  <si>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</si>
  <si>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</si>
  <si>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</si>
  <si>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</si>
  <si>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</si>
  <si>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</si>
  <si>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</si>
  <si>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</si>
  <si>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facturaciones promedio/hora</t>
  </si>
  <si>
    <t>clientes promedio/mes</t>
  </si>
  <si>
    <t>clientes promedio/semana</t>
  </si>
  <si>
    <t>clientes promedio/día</t>
  </si>
  <si>
    <t>clientes promedio/hora</t>
  </si>
  <si>
    <t>productos promedio/día</t>
  </si>
  <si>
    <t>AUDITADO</t>
  </si>
  <si>
    <t>Visite nuestra página web</t>
  </si>
  <si>
    <t>Ventas Medias</t>
  </si>
  <si>
    <t xml:space="preserve">de las ventas (ventas por temporadas altas, medias y bajas) acorde a su giro de negocio actual. </t>
  </si>
  <si>
    <t>Conforme 1 año de ventas, elija el mes que por experiencia calificaría como el más bajo en ventas.</t>
  </si>
  <si>
    <t>Digite el tikect promedio en los cuadros amarillos. Gracias.</t>
  </si>
  <si>
    <t>(Capacidad Instalada Total) Estantes</t>
  </si>
  <si>
    <t>Productos por Estantes</t>
  </si>
  <si>
    <t>En general, del 100% de productos, ¿cuántos se venden al día?</t>
  </si>
  <si>
    <t>Rotación de Estantes al día</t>
  </si>
  <si>
    <t>PRODUCTOS</t>
  </si>
  <si>
    <t>¿Cuántos productos por línea de precio?</t>
  </si>
  <si>
    <t>Identificaremos cuántos productos tiene su negocio por línea de precio estandar.</t>
  </si>
  <si>
    <t>Solamente poner los productos más comunes de ventas, no los especiales.</t>
  </si>
  <si>
    <t>OTROS PRODUCTOS EN NO ESTANTERIAS</t>
  </si>
  <si>
    <t>Productos a vender</t>
  </si>
  <si>
    <t>Procurar primero repetir los valores elegidos antes:</t>
  </si>
  <si>
    <t>rotación productos/estantes/temporada/día</t>
  </si>
  <si>
    <t>productividad/estante/día-productos</t>
  </si>
  <si>
    <t>Elija por favor solamente la línea que más vende de sus productos.</t>
  </si>
  <si>
    <t>¿Cuál es el ticket promedio de la línea de mayor producción?</t>
  </si>
  <si>
    <t>Línea Económica</t>
  </si>
  <si>
    <t>Línea Media</t>
  </si>
  <si>
    <t>Línea Lujosa</t>
  </si>
  <si>
    <t>¿Cuántos productos piensa usted produce en total?</t>
  </si>
  <si>
    <t>Productos/Estante/Día:</t>
  </si>
  <si>
    <t>promedio productos facturados/estante</t>
  </si>
  <si>
    <t>4 Sencillos Datos para identificar si es VIABLE multiplicar su negociocomo modelo de franquicia</t>
  </si>
  <si>
    <t>¿Cuánto en ingresos deben hacer sus franquicias al mes en ventas mínimas?</t>
  </si>
  <si>
    <t>Comportamiento Financiero: una idea rápida de la Factibilidad y Rentabilidad de su Negocio para Franquiciarlo</t>
  </si>
  <si>
    <t>Conforme al puntaje calificado arriba, describa por favor qué tipo de ventas es (bajas, medias o altas):</t>
  </si>
  <si>
    <t>experiencia en las ventas de su negocio, así luego calificarlo en escala del 1 a 10 para determinar una estacionalidad</t>
  </si>
  <si>
    <t>Productos por Hora/Clientes: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</si>
</sst>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i/>
      <sz val="14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8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1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0" xfId="0" applyNumberFormat="1" applyBorder="1"/>
    <xf numFmtId="0" fontId="9" fillId="0" borderId="0" xfId="0" applyFont="1" applyFill="1" applyBorder="1" applyAlignment="1"/>
    <xf numFmtId="0" fontId="0" fillId="0" borderId="0" xfId="0" applyBorder="1"/>
    <xf numFmtId="0" fontId="10" fillId="0" borderId="0" xfId="0" applyFont="1"/>
    <xf numFmtId="0" fontId="11" fillId="0" borderId="0" xfId="0" applyFont="1" applyFill="1" applyBorder="1" applyAlignment="1"/>
    <xf numFmtId="0" fontId="0" fillId="0" borderId="0" xfId="0" applyBorder="1" applyAlignment="1">
      <alignment wrapText="1"/>
    </xf>
    <xf numFmtId="0" fontId="16" fillId="0" borderId="0" xfId="0" applyFont="1" applyFill="1" applyBorder="1" applyAlignment="1"/>
    <xf numFmtId="0" fontId="17" fillId="0" borderId="0" xfId="0" applyFon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Border="1" applyAlignment="1">
      <alignment horizontal="left"/>
    </xf>
    <xf numFmtId="0" fontId="0" fillId="0" borderId="0" xfId="0" applyAlignment="1">
      <alignment wrapText="1"/>
    </xf>
    <xf numFmtId="164" fontId="0" fillId="0" borderId="5" xfId="0" applyNumberFormat="1" applyBorder="1"/>
    <xf numFmtId="0" fontId="0" fillId="0" borderId="0" xfId="0" applyFill="1"/>
    <xf numFmtId="164" fontId="14" fillId="0" borderId="9" xfId="0" applyNumberFormat="1" applyFont="1" applyFill="1" applyBorder="1"/>
    <xf numFmtId="0" fontId="0" fillId="7" borderId="0" xfId="0" applyFill="1"/>
    <xf numFmtId="0" fontId="17" fillId="7" borderId="0" xfId="0" applyFont="1" applyFill="1" applyBorder="1" applyAlignment="1">
      <alignment horizontal="right"/>
    </xf>
    <xf numFmtId="0" fontId="17" fillId="7" borderId="0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left"/>
    </xf>
    <xf numFmtId="164" fontId="22" fillId="7" borderId="0" xfId="0" applyNumberFormat="1" applyFont="1" applyFill="1"/>
    <xf numFmtId="164" fontId="20" fillId="0" borderId="0" xfId="0" applyNumberFormat="1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right"/>
    </xf>
    <xf numFmtId="164" fontId="23" fillId="0" borderId="9" xfId="0" applyNumberFormat="1" applyFont="1" applyFill="1" applyBorder="1"/>
    <xf numFmtId="10" fontId="22" fillId="7" borderId="0" xfId="3" applyNumberFormat="1" applyFont="1" applyFill="1"/>
    <xf numFmtId="166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0" fillId="0" borderId="4" xfId="0" applyNumberFormat="1" applyFill="1" applyBorder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1" fontId="0" fillId="5" borderId="0" xfId="0" applyNumberFormat="1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9" fontId="2" fillId="5" borderId="0" xfId="0" applyNumberFormat="1" applyFont="1" applyFill="1" applyAlignment="1" applyProtection="1">
      <alignment horizontal="center"/>
      <protection locked="0"/>
    </xf>
    <xf numFmtId="164" fontId="0" fillId="5" borderId="0" xfId="0" applyNumberFormat="1" applyFill="1" applyBorder="1" applyProtection="1">
      <protection locked="0"/>
    </xf>
    <xf numFmtId="0" fontId="0" fillId="5" borderId="0" xfId="0" applyFill="1" applyBorder="1" applyAlignment="1" applyProtection="1">
      <alignment horizontal="center"/>
      <protection locked="0"/>
    </xf>
    <xf numFmtId="9" fontId="0" fillId="5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9" fontId="0" fillId="5" borderId="10" xfId="0" applyNumberFormat="1" applyFill="1" applyBorder="1" applyAlignment="1" applyProtection="1">
      <alignment horizontal="center"/>
      <protection locked="0"/>
    </xf>
    <xf numFmtId="0" fontId="0" fillId="6" borderId="0" xfId="0" applyFill="1"/>
    <xf numFmtId="0" fontId="2" fillId="6" borderId="0" xfId="0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left" vertical="center" textRotation="90" wrapText="1"/>
    </xf>
    <xf numFmtId="9" fontId="1" fillId="0" borderId="0" xfId="0" applyNumberFormat="1" applyFont="1" applyFill="1" applyBorder="1" applyAlignment="1">
      <alignment horizontal="center"/>
    </xf>
    <xf numFmtId="3" fontId="2" fillId="6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9" borderId="0" xfId="0" applyFont="1" applyFill="1" applyAlignment="1">
      <alignment horizontal="right"/>
    </xf>
    <xf numFmtId="0" fontId="2" fillId="9" borderId="0" xfId="0" applyFont="1" applyFill="1"/>
    <xf numFmtId="1" fontId="2" fillId="9" borderId="0" xfId="0" applyNumberFormat="1" applyFont="1" applyFill="1" applyAlignment="1">
      <alignment horizontal="center"/>
    </xf>
    <xf numFmtId="166" fontId="2" fillId="8" borderId="0" xfId="0" applyNumberFormat="1" applyFont="1" applyFill="1" applyAlignment="1">
      <alignment horizontal="center"/>
    </xf>
    <xf numFmtId="0" fontId="2" fillId="8" borderId="0" xfId="0" applyFont="1" applyFill="1"/>
    <xf numFmtId="1" fontId="2" fillId="8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24" fillId="0" borderId="0" xfId="0" applyFont="1" applyAlignment="1">
      <alignment horizontal="right"/>
    </xf>
    <xf numFmtId="0" fontId="0" fillId="0" borderId="4" xfId="0" applyBorder="1" applyAlignment="1">
      <alignment horizontal="right" vertical="top"/>
    </xf>
    <xf numFmtId="164" fontId="0" fillId="0" borderId="0" xfId="0" applyNumberForma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9" fontId="0" fillId="5" borderId="0" xfId="0" applyNumberFormat="1" applyFill="1" applyBorder="1" applyAlignment="1" applyProtection="1">
      <alignment horizontal="center" vertical="center"/>
      <protection locked="0"/>
    </xf>
    <xf numFmtId="164" fontId="0" fillId="5" borderId="0" xfId="0" applyNumberFormat="1" applyFill="1" applyBorder="1" applyAlignment="1" applyProtection="1">
      <alignment vertical="center"/>
      <protection locked="0"/>
    </xf>
    <xf numFmtId="1" fontId="0" fillId="5" borderId="0" xfId="0" applyNumberFormat="1" applyFill="1" applyBorder="1" applyAlignment="1" applyProtection="1">
      <alignment horizontal="center" vertical="center"/>
      <protection locked="0"/>
    </xf>
    <xf numFmtId="0" fontId="13" fillId="10" borderId="0" xfId="0" applyFont="1" applyFill="1" applyBorder="1" applyAlignment="1"/>
    <xf numFmtId="0" fontId="14" fillId="11" borderId="0" xfId="0" applyFont="1" applyFill="1" applyBorder="1" applyAlignment="1">
      <alignment horizontal="right"/>
    </xf>
    <xf numFmtId="0" fontId="14" fillId="11" borderId="0" xfId="0" applyFont="1" applyFill="1" applyBorder="1" applyAlignment="1">
      <alignment horizontal="left"/>
    </xf>
    <xf numFmtId="0" fontId="26" fillId="11" borderId="0" xfId="0" applyFont="1" applyFill="1" applyBorder="1" applyAlignment="1">
      <alignment horizontal="right"/>
    </xf>
    <xf numFmtId="164" fontId="27" fillId="11" borderId="0" xfId="0" applyNumberFormat="1" applyFont="1" applyFill="1" applyBorder="1"/>
    <xf numFmtId="3" fontId="27" fillId="11" borderId="0" xfId="0" applyNumberFormat="1" applyFont="1" applyFill="1" applyBorder="1" applyAlignment="1">
      <alignment horizontal="center"/>
    </xf>
    <xf numFmtId="0" fontId="10" fillId="11" borderId="4" xfId="0" applyFont="1" applyFill="1" applyBorder="1"/>
    <xf numFmtId="0" fontId="0" fillId="11" borderId="0" xfId="0" applyFill="1" applyBorder="1"/>
    <xf numFmtId="0" fontId="0" fillId="11" borderId="5" xfId="0" applyFill="1" applyBorder="1"/>
    <xf numFmtId="0" fontId="0" fillId="11" borderId="4" xfId="0" applyFill="1" applyBorder="1"/>
    <xf numFmtId="3" fontId="15" fillId="11" borderId="0" xfId="0" applyNumberFormat="1" applyFont="1" applyFill="1" applyBorder="1" applyAlignment="1">
      <alignment horizontal="center"/>
    </xf>
    <xf numFmtId="0" fontId="0" fillId="11" borderId="6" xfId="0" applyFill="1" applyBorder="1"/>
    <xf numFmtId="0" fontId="0" fillId="11" borderId="7" xfId="0" applyFill="1" applyBorder="1"/>
    <xf numFmtId="0" fontId="14" fillId="11" borderId="7" xfId="0" applyFont="1" applyFill="1" applyBorder="1" applyAlignment="1">
      <alignment horizontal="right"/>
    </xf>
    <xf numFmtId="3" fontId="15" fillId="11" borderId="7" xfId="0" applyNumberFormat="1" applyFont="1" applyFill="1" applyBorder="1" applyAlignment="1">
      <alignment horizontal="center"/>
    </xf>
    <xf numFmtId="0" fontId="14" fillId="11" borderId="7" xfId="0" applyFont="1" applyFill="1" applyBorder="1" applyAlignment="1">
      <alignment horizontal="left"/>
    </xf>
    <xf numFmtId="0" fontId="0" fillId="11" borderId="8" xfId="0" applyFill="1" applyBorder="1"/>
    <xf numFmtId="164" fontId="20" fillId="10" borderId="0" xfId="0" applyNumberFormat="1" applyFont="1" applyFill="1" applyBorder="1"/>
    <xf numFmtId="0" fontId="1" fillId="10" borderId="1" xfId="0" applyFont="1" applyFill="1" applyBorder="1" applyAlignment="1">
      <alignment horizontal="right"/>
    </xf>
    <xf numFmtId="164" fontId="1" fillId="10" borderId="2" xfId="0" applyNumberFormat="1" applyFont="1" applyFill="1" applyBorder="1"/>
    <xf numFmtId="9" fontId="1" fillId="10" borderId="3" xfId="0" applyNumberFormat="1" applyFont="1" applyFill="1" applyBorder="1" applyAlignment="1">
      <alignment horizontal="center"/>
    </xf>
    <xf numFmtId="164" fontId="1" fillId="10" borderId="3" xfId="0" applyNumberFormat="1" applyFont="1" applyFill="1" applyBorder="1"/>
    <xf numFmtId="9" fontId="1" fillId="10" borderId="8" xfId="0" applyNumberFormat="1" applyFont="1" applyFill="1" applyBorder="1" applyAlignment="1">
      <alignment horizontal="center"/>
    </xf>
    <xf numFmtId="0" fontId="21" fillId="10" borderId="11" xfId="0" applyFont="1" applyFill="1" applyBorder="1"/>
    <xf numFmtId="0" fontId="1" fillId="10" borderId="12" xfId="0" applyFont="1" applyFill="1" applyBorder="1" applyAlignment="1">
      <alignment horizontal="right"/>
    </xf>
    <xf numFmtId="0" fontId="21" fillId="10" borderId="4" xfId="0" applyFont="1" applyFill="1" applyBorder="1"/>
    <xf numFmtId="0" fontId="1" fillId="10" borderId="0" xfId="0" applyFont="1" applyFill="1" applyBorder="1" applyAlignment="1">
      <alignment horizontal="right"/>
    </xf>
    <xf numFmtId="0" fontId="21" fillId="10" borderId="6" xfId="0" applyFont="1" applyFill="1" applyBorder="1"/>
    <xf numFmtId="0" fontId="1" fillId="10" borderId="7" xfId="0" applyFont="1" applyFill="1" applyBorder="1" applyAlignment="1">
      <alignment horizontal="right"/>
    </xf>
    <xf numFmtId="164" fontId="1" fillId="10" borderId="8" xfId="0" applyNumberFormat="1" applyFont="1" applyFill="1" applyBorder="1"/>
    <xf numFmtId="10" fontId="1" fillId="10" borderId="8" xfId="3" applyNumberFormat="1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13" fillId="10" borderId="1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13" fillId="10" borderId="0" xfId="0" applyFont="1" applyFill="1" applyBorder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6" fillId="0" borderId="0" xfId="0" applyFont="1"/>
    <xf numFmtId="0" fontId="8" fillId="10" borderId="11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pravalegal.com/" TargetMode="External"/><Relationship Id="rId13" Type="http://schemas.openxmlformats.org/officeDocument/2006/relationships/hyperlink" Target="https://lexincorp.com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2" Type="http://schemas.openxmlformats.org/officeDocument/2006/relationships/hyperlink" Target="https://www.franquiciashubs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bdseniorpartners.com/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hyperlink" Target="#'Multiplicando su Negocio'!A1"/><Relationship Id="rId4" Type="http://schemas.openxmlformats.org/officeDocument/2006/relationships/hyperlink" Target="https://www.winpartnersgroup.com/" TargetMode="External"/><Relationship Id="rId9" Type="http://schemas.openxmlformats.org/officeDocument/2006/relationships/image" Target="../media/image5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hyperlink" Target="#'Presupuesto Anual Franquicias'!A1"/><Relationship Id="rId7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Relationship Id="rId6" Type="http://schemas.openxmlformats.org/officeDocument/2006/relationships/image" Target="../media/image11.png"/><Relationship Id="rId5" Type="http://schemas.openxmlformats.org/officeDocument/2006/relationships/hyperlink" Target="#Inicio!A1"/><Relationship Id="rId4" Type="http://schemas.openxmlformats.org/officeDocument/2006/relationships/image" Target="../media/image6.png"/><Relationship Id="rId9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6.png"/><Relationship Id="rId1" Type="http://schemas.openxmlformats.org/officeDocument/2006/relationships/hyperlink" Target="#'Viabilidad para Franquicia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0</xdr:row>
      <xdr:rowOff>0</xdr:rowOff>
    </xdr:from>
    <xdr:to>
      <xdr:col>17</xdr:col>
      <xdr:colOff>220980</xdr:colOff>
      <xdr:row>15</xdr:row>
      <xdr:rowOff>106680</xdr:rowOff>
    </xdr:to>
    <xdr:pic>
      <xdr:nvPicPr>
        <xdr:cNvPr id="23" name="Imagen 22" descr="La producción a demanda abre la puerta a la producción en serie  individualizada | HBM">
          <a:extLst>
            <a:ext uri="{FF2B5EF4-FFF2-40B4-BE49-F238E27FC236}">
              <a16:creationId xmlns:a16="http://schemas.microsoft.com/office/drawing/2014/main" id="{D94A8B9B-5647-4EDE-9178-9C3AD7EA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380" y="0"/>
          <a:ext cx="3048000" cy="284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350520</xdr:colOff>
      <xdr:row>0</xdr:row>
      <xdr:rowOff>121920</xdr:rowOff>
    </xdr:from>
    <xdr:to>
      <xdr:col>4</xdr:col>
      <xdr:colOff>568960</xdr:colOff>
      <xdr:row>9</xdr:row>
      <xdr:rowOff>43815</xdr:rowOff>
    </xdr:to>
    <xdr:pic>
      <xdr:nvPicPr>
        <xdr:cNvPr id="2" name="Imagen 1">
          <a:hlinkClick xmlns:r="http://schemas.openxmlformats.org/officeDocument/2006/relationships" r:id="rId2" tooltip="Dirección General de Franquicias"/>
          <a:extLst>
            <a:ext uri="{FF2B5EF4-FFF2-40B4-BE49-F238E27FC236}">
              <a16:creationId xmlns:a16="http://schemas.microsoft.com/office/drawing/2014/main" id="{2F7244A9-7CE9-49A2-91C9-12F2F44CA3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716280" y="121920"/>
          <a:ext cx="2969260" cy="154686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23</xdr:row>
      <xdr:rowOff>167640</xdr:rowOff>
    </xdr:from>
    <xdr:to>
      <xdr:col>3</xdr:col>
      <xdr:colOff>990755</xdr:colOff>
      <xdr:row>29</xdr:row>
      <xdr:rowOff>76200</xdr:rowOff>
    </xdr:to>
    <xdr:pic>
      <xdr:nvPicPr>
        <xdr:cNvPr id="3" name="Imagen 2">
          <a:hlinkClick xmlns:r="http://schemas.openxmlformats.org/officeDocument/2006/relationships" r:id="rId4" tooltip="Dirección Ejecutiva de Franquicias"/>
          <a:extLst>
            <a:ext uri="{FF2B5EF4-FFF2-40B4-BE49-F238E27FC236}">
              <a16:creationId xmlns:a16="http://schemas.microsoft.com/office/drawing/2014/main" id="{ECB20E20-D0FB-4441-BBB1-52D934935E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365760" y="4373880"/>
          <a:ext cx="2571905" cy="990600"/>
        </a:xfrm>
        <a:prstGeom prst="rect">
          <a:avLst/>
        </a:prstGeom>
      </xdr:spPr>
    </xdr:pic>
    <xdr:clientData/>
  </xdr:twoCellAnchor>
  <xdr:twoCellAnchor editAs="oneCell">
    <xdr:from>
      <xdr:col>4</xdr:col>
      <xdr:colOff>403860</xdr:colOff>
      <xdr:row>24</xdr:row>
      <xdr:rowOff>0</xdr:rowOff>
    </xdr:from>
    <xdr:to>
      <xdr:col>8</xdr:col>
      <xdr:colOff>310515</xdr:colOff>
      <xdr:row>28</xdr:row>
      <xdr:rowOff>133350</xdr:rowOff>
    </xdr:to>
    <xdr:pic>
      <xdr:nvPicPr>
        <xdr:cNvPr id="4" name="Imagen 3">
          <a:hlinkClick xmlns:r="http://schemas.openxmlformats.org/officeDocument/2006/relationships" r:id="rId6" tooltip="Dirección Jurídica Franquicias para USA"/>
          <a:extLst>
            <a:ext uri="{FF2B5EF4-FFF2-40B4-BE49-F238E27FC236}">
              <a16:creationId xmlns:a16="http://schemas.microsoft.com/office/drawing/2014/main" id="{66B3E3E6-BDA4-43D2-9E77-1A11364EC9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528060" y="4389120"/>
          <a:ext cx="3070860" cy="861060"/>
        </a:xfrm>
        <a:prstGeom prst="rect">
          <a:avLst/>
        </a:prstGeom>
      </xdr:spPr>
    </xdr:pic>
    <xdr:clientData/>
  </xdr:twoCellAnchor>
  <xdr:twoCellAnchor editAs="oneCell">
    <xdr:from>
      <xdr:col>10</xdr:col>
      <xdr:colOff>182880</xdr:colOff>
      <xdr:row>24</xdr:row>
      <xdr:rowOff>170590</xdr:rowOff>
    </xdr:from>
    <xdr:to>
      <xdr:col>12</xdr:col>
      <xdr:colOff>422719</xdr:colOff>
      <xdr:row>29</xdr:row>
      <xdr:rowOff>7697</xdr:rowOff>
    </xdr:to>
    <xdr:pic>
      <xdr:nvPicPr>
        <xdr:cNvPr id="5" name="Imagen 4">
          <a:hlinkClick xmlns:r="http://schemas.openxmlformats.org/officeDocument/2006/relationships" r:id="rId8" tooltip="Dirección Jurídica Franquicias para Centroamérica"/>
          <a:extLst>
            <a:ext uri="{FF2B5EF4-FFF2-40B4-BE49-F238E27FC236}">
              <a16:creationId xmlns:a16="http://schemas.microsoft.com/office/drawing/2014/main" id="{D234D8E7-8CB0-49F2-9E46-EFE819D83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4320" y="4559710"/>
          <a:ext cx="1822894" cy="736267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AF2F0AE-2459-4A9A-8EC8-94FC07964999}"/>
            </a:ext>
          </a:extLst>
        </xdr:cNvPr>
        <xdr:cNvSpPr txBox="1"/>
      </xdr:nvSpPr>
      <xdr:spPr>
        <a:xfrm>
          <a:off x="4815840" y="342900"/>
          <a:ext cx="639318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E4D643D-CEFE-496E-AEF4-6CD327405304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QUE HACEN PRODUCTOS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8" name="Imagen 7">
          <a:hlinkClick xmlns:r="http://schemas.openxmlformats.org/officeDocument/2006/relationships" r:id="rId10" tooltip="Conozca cuál debe ser la dinámica de su negocio franquiciado"/>
          <a:extLst>
            <a:ext uri="{FF2B5EF4-FFF2-40B4-BE49-F238E27FC236}">
              <a16:creationId xmlns:a16="http://schemas.microsoft.com/office/drawing/2014/main" id="{D2A08584-001A-451B-95B8-82D4A846E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064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9" name="CuadroTexto 8">
          <a:hlinkClick xmlns:r="http://schemas.openxmlformats.org/officeDocument/2006/relationships" r:id="rId10" tooltip="Conozca cuál debe ser la dinámica de su negocio franquiciado"/>
          <a:extLst>
            <a:ext uri="{FF2B5EF4-FFF2-40B4-BE49-F238E27FC236}">
              <a16:creationId xmlns:a16="http://schemas.microsoft.com/office/drawing/2014/main" id="{2472499C-C898-4F34-9130-D2D56AF6BD54}"/>
            </a:ext>
          </a:extLst>
        </xdr:cNvPr>
        <xdr:cNvSpPr txBox="1"/>
      </xdr:nvSpPr>
      <xdr:spPr>
        <a:xfrm>
          <a:off x="1190244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1</xdr:col>
      <xdr:colOff>525780</xdr:colOff>
      <xdr:row>9</xdr:row>
      <xdr:rowOff>53340</xdr:rowOff>
    </xdr:from>
    <xdr:to>
      <xdr:col>2</xdr:col>
      <xdr:colOff>666750</xdr:colOff>
      <xdr:row>11</xdr:row>
      <xdr:rowOff>161342</xdr:rowOff>
    </xdr:to>
    <xdr:pic>
      <xdr:nvPicPr>
        <xdr:cNvPr id="10" name="Imagen 9" descr="Vector Transparente PNG Y SVG De Trazo De Icono De Sitio Web Www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11E0BF-E47A-4947-83D1-F1FCF30ED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91540" y="169926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624840</xdr:colOff>
      <xdr:row>29</xdr:row>
      <xdr:rowOff>45720</xdr:rowOff>
    </xdr:from>
    <xdr:to>
      <xdr:col>2</xdr:col>
      <xdr:colOff>144780</xdr:colOff>
      <xdr:row>31</xdr:row>
      <xdr:rowOff>149912</xdr:rowOff>
    </xdr:to>
    <xdr:pic>
      <xdr:nvPicPr>
        <xdr:cNvPr id="11" name="Imagen 10" descr="Vector Transparente PNG Y SVG De Trazo De Icono De Sitio Web Www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84CAEB-DBB7-4A82-9142-B72A9A4D87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6576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767715</xdr:colOff>
      <xdr:row>31</xdr:row>
      <xdr:rowOff>149912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0C2F70C-E7C0-441C-B474-EEEA133104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74142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617220</xdr:colOff>
      <xdr:row>29</xdr:row>
      <xdr:rowOff>45720</xdr:rowOff>
    </xdr:from>
    <xdr:to>
      <xdr:col>10</xdr:col>
      <xdr:colOff>767715</xdr:colOff>
      <xdr:row>31</xdr:row>
      <xdr:rowOff>149912</xdr:rowOff>
    </xdr:to>
    <xdr:pic>
      <xdr:nvPicPr>
        <xdr:cNvPr id="13" name="Imagen 12" descr="Vector Transparente PNG Y SVG De Trazo De Icono De Sitio Web Www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BE4987D-B47C-4C9A-8B08-2C085C4E7C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753618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BA5453A0-A09C-4FDE-889B-89C8EC9596FC}"/>
            </a:ext>
          </a:extLst>
        </xdr:cNvPr>
        <xdr:cNvSpPr txBox="1"/>
      </xdr:nvSpPr>
      <xdr:spPr>
        <a:xfrm>
          <a:off x="365760" y="3474720"/>
          <a:ext cx="1336548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 negocio franquiciable que crea productos.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E01F149-EA77-4993-AD33-9BFA337D8EB1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 y Florida, USA: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Agencia Coach Franquiciantes y Franquiciados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617220</xdr:colOff>
      <xdr:row>29</xdr:row>
      <xdr:rowOff>38100</xdr:rowOff>
    </xdr:from>
    <xdr:to>
      <xdr:col>14</xdr:col>
      <xdr:colOff>767715</xdr:colOff>
      <xdr:row>31</xdr:row>
      <xdr:rowOff>136577</xdr:rowOff>
    </xdr:to>
    <xdr:pic>
      <xdr:nvPicPr>
        <xdr:cNvPr id="17" name="Imagen 16" descr="Vector Transparente PNG Y SVG De Trazo De Icono De Sitio Web Www">
          <a:hlinkClick xmlns:r="http://schemas.openxmlformats.org/officeDocument/2006/relationships" r:id="rId13" tooltip="https://lexincorp.com/"/>
          <a:extLst>
            <a:ext uri="{FF2B5EF4-FFF2-40B4-BE49-F238E27FC236}">
              <a16:creationId xmlns:a16="http://schemas.microsoft.com/office/drawing/2014/main" id="{E5976B4C-A664-499B-96D6-98434BBE0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0934700" y="53416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701040</xdr:colOff>
      <xdr:row>25</xdr:row>
      <xdr:rowOff>45720</xdr:rowOff>
    </xdr:from>
    <xdr:to>
      <xdr:col>16</xdr:col>
      <xdr:colOff>578147</xdr:colOff>
      <xdr:row>28</xdr:row>
      <xdr:rowOff>72956</xdr:rowOff>
    </xdr:to>
    <xdr:pic>
      <xdr:nvPicPr>
        <xdr:cNvPr id="18" name="Imagen 17">
          <a:hlinkClick xmlns:r="http://schemas.openxmlformats.org/officeDocument/2006/relationships" r:id="rId13" tooltip="Crea Contratos de Franquicias"/>
          <a:extLst>
            <a:ext uri="{FF2B5EF4-FFF2-40B4-BE49-F238E27FC236}">
              <a16:creationId xmlns:a16="http://schemas.microsoft.com/office/drawing/2014/main" id="{470E6700-BB83-46C1-98B8-45C067574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8520" y="4617720"/>
          <a:ext cx="2243117" cy="568256"/>
        </a:xfrm>
        <a:prstGeom prst="rect">
          <a:avLst/>
        </a:prstGeom>
      </xdr:spPr>
    </xdr:pic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1D950227-EF12-49B7-93D6-5FC7C5925CDE}"/>
            </a:ext>
          </a:extLst>
        </xdr:cNvPr>
        <xdr:cNvSpPr txBox="1"/>
      </xdr:nvSpPr>
      <xdr:spPr>
        <a:xfrm>
          <a:off x="320040" y="5836920"/>
          <a:ext cx="292608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Latinoamérica: Firma experta en Negocios.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628B0E34-CE77-4874-97E4-5AB6AA222C91}"/>
            </a:ext>
          </a:extLst>
        </xdr:cNvPr>
        <xdr:cNvSpPr txBox="1"/>
      </xdr:nvSpPr>
      <xdr:spPr>
        <a:xfrm>
          <a:off x="345948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8A7BEFC2-6545-4F53-B1C5-9F7EE1803FF4}"/>
            </a:ext>
          </a:extLst>
        </xdr:cNvPr>
        <xdr:cNvSpPr txBox="1"/>
      </xdr:nvSpPr>
      <xdr:spPr>
        <a:xfrm>
          <a:off x="6949440" y="5836920"/>
          <a:ext cx="36576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Coaching Jurídico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F6EFC4C2-067B-4E1D-BAF4-7196980FA4B2}"/>
            </a:ext>
          </a:extLst>
        </xdr:cNvPr>
        <xdr:cNvSpPr txBox="1"/>
      </xdr:nvSpPr>
      <xdr:spPr>
        <a:xfrm>
          <a:off x="105232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Centroamérica y México: Contratos Franquicias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Norma relaciones contractuales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678181</xdr:colOff>
      <xdr:row>2</xdr:row>
      <xdr:rowOff>259080</xdr:rowOff>
    </xdr:from>
    <xdr:to>
      <xdr:col>6</xdr:col>
      <xdr:colOff>710596</xdr:colOff>
      <xdr:row>11</xdr:row>
      <xdr:rowOff>245520</xdr:rowOff>
    </xdr:to>
    <xdr:pic>
      <xdr:nvPicPr>
        <xdr:cNvPr id="6" name="Imagen 5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23</xdr:row>
      <xdr:rowOff>68580</xdr:rowOff>
    </xdr:from>
    <xdr:to>
      <xdr:col>5</xdr:col>
      <xdr:colOff>1318260</xdr:colOff>
      <xdr:row>30</xdr:row>
      <xdr:rowOff>91440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0292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632461</xdr:colOff>
      <xdr:row>16</xdr:row>
      <xdr:rowOff>68580</xdr:rowOff>
    </xdr:from>
    <xdr:to>
      <xdr:col>14</xdr:col>
      <xdr:colOff>290555</xdr:colOff>
      <xdr:row>18</xdr:row>
      <xdr:rowOff>63305</xdr:rowOff>
    </xdr:to>
    <xdr:pic>
      <xdr:nvPicPr>
        <xdr:cNvPr id="9" name="Imagen 8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0281" y="347472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586740</xdr:colOff>
      <xdr:row>16</xdr:row>
      <xdr:rowOff>80304</xdr:rowOff>
    </xdr:from>
    <xdr:to>
      <xdr:col>13</xdr:col>
      <xdr:colOff>674887</xdr:colOff>
      <xdr:row>18</xdr:row>
      <xdr:rowOff>76200</xdr:rowOff>
    </xdr:to>
    <xdr:sp macro="" textlink="">
      <xdr:nvSpPr>
        <xdr:cNvPr id="10" name="CuadroTexto 9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832080" y="3486444"/>
          <a:ext cx="880627" cy="445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13</xdr:col>
      <xdr:colOff>632461</xdr:colOff>
      <xdr:row>18</xdr:row>
      <xdr:rowOff>83820</xdr:rowOff>
    </xdr:from>
    <xdr:to>
      <xdr:col>14</xdr:col>
      <xdr:colOff>290555</xdr:colOff>
      <xdr:row>20</xdr:row>
      <xdr:rowOff>78545</xdr:rowOff>
    </xdr:to>
    <xdr:pic>
      <xdr:nvPicPr>
        <xdr:cNvPr id="12" name="Imagen 11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670281" y="393954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586740</xdr:colOff>
      <xdr:row>18</xdr:row>
      <xdr:rowOff>95544</xdr:rowOff>
    </xdr:from>
    <xdr:to>
      <xdr:col>13</xdr:col>
      <xdr:colOff>674887</xdr:colOff>
      <xdr:row>20</xdr:row>
      <xdr:rowOff>68580</xdr:rowOff>
    </xdr:to>
    <xdr:sp macro="" textlink="">
      <xdr:nvSpPr>
        <xdr:cNvPr id="13" name="CuadroTexto 12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832080" y="3951264"/>
          <a:ext cx="880627" cy="422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10</xdr:row>
      <xdr:rowOff>76200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98720" y="1013460"/>
          <a:ext cx="1264920" cy="13487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426720</xdr:colOff>
      <xdr:row>6</xdr:row>
      <xdr:rowOff>15240</xdr:rowOff>
    </xdr:from>
    <xdr:to>
      <xdr:col>2</xdr:col>
      <xdr:colOff>723900</xdr:colOff>
      <xdr:row>10</xdr:row>
      <xdr:rowOff>68580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26720" y="1508760"/>
          <a:ext cx="2286000" cy="8458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mide la cantidad de pedidos y pagado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15</xdr:row>
      <xdr:rowOff>15240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574780" y="5791200"/>
          <a:ext cx="2148840" cy="8153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n cliente comprar fijo de tu negocio, al visitarlo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NI" sz="1100"/>
        </a:p>
      </xdr:txBody>
    </xdr:sp>
    <xdr:clientData/>
  </xdr:twoCellAnchor>
  <xdr:twoCellAnchor editAs="oneCell">
    <xdr:from>
      <xdr:col>5</xdr:col>
      <xdr:colOff>7620</xdr:colOff>
      <xdr:row>11</xdr:row>
      <xdr:rowOff>160020</xdr:rowOff>
    </xdr:from>
    <xdr:to>
      <xdr:col>6</xdr:col>
      <xdr:colOff>99180</xdr:colOff>
      <xdr:row>21</xdr:row>
      <xdr:rowOff>68700</xdr:rowOff>
    </xdr:to>
    <xdr:pic>
      <xdr:nvPicPr>
        <xdr:cNvPr id="23" name="Imagen 22" descr="Linea de ensamblaje - Iconos gratis de industri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2628900"/>
          <a:ext cx="2088000" cy="20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594360</xdr:colOff>
      <xdr:row>22</xdr:row>
      <xdr:rowOff>22860</xdr:rowOff>
    </xdr:from>
    <xdr:to>
      <xdr:col>5</xdr:col>
      <xdr:colOff>1935480</xdr:colOff>
      <xdr:row>27</xdr:row>
      <xdr:rowOff>182880</xdr:rowOff>
    </xdr:to>
    <xdr:pic>
      <xdr:nvPicPr>
        <xdr:cNvPr id="24" name="Imagen 23" descr="Vector Transparente PNG Y SVG De Camisa En El Colgador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4800600"/>
          <a:ext cx="13411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1653540</xdr:colOff>
      <xdr:row>22</xdr:row>
      <xdr:rowOff>0</xdr:rowOff>
    </xdr:from>
    <xdr:to>
      <xdr:col>6</xdr:col>
      <xdr:colOff>434340</xdr:colOff>
      <xdr:row>25</xdr:row>
      <xdr:rowOff>60960</xdr:rowOff>
    </xdr:to>
    <xdr:pic>
      <xdr:nvPicPr>
        <xdr:cNvPr id="25" name="Imagen 24" descr="👞 Zapato De Hombre Emoji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777740"/>
          <a:ext cx="777240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1173534</xdr:colOff>
      <xdr:row>23</xdr:row>
      <xdr:rowOff>220980</xdr:rowOff>
    </xdr:from>
    <xdr:to>
      <xdr:col>6</xdr:col>
      <xdr:colOff>634962</xdr:colOff>
      <xdr:row>31</xdr:row>
      <xdr:rowOff>68580</xdr:rowOff>
    </xdr:to>
    <xdr:pic>
      <xdr:nvPicPr>
        <xdr:cNvPr id="22" name="Imagen 21" descr="Thumb Image - Productos De Mercado Png, Transparent Png , Transparent Png  Image - PNGitem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1794" y="5265420"/>
          <a:ext cx="1457868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32</xdr:row>
      <xdr:rowOff>175260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53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15240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53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76200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5015C-7AF1-47B8-AB6D-DA3113CEC0D9}">
  <dimension ref="A1:R31"/>
  <sheetViews>
    <sheetView showGridLines="0" showRowColHeaders="0" tabSelected="1" workbookViewId="0"/>
  </sheetViews>
  <sheetFormatPr baseColWidth="10" defaultRowHeight="14.4" x14ac:dyDescent="0.3"/>
  <cols>
    <col min="1" max="1" width="5.33203125" customWidth="1"/>
    <col min="4" max="4" width="17.109375" customWidth="1"/>
    <col min="5" max="5" width="11.5546875" customWidth="1"/>
    <col min="9" max="9" width="9.109375" customWidth="1"/>
    <col min="13" max="13" width="14.88671875" customWidth="1"/>
  </cols>
  <sheetData>
    <row r="1" spans="1:18" ht="14.4" customHeight="1" x14ac:dyDescent="0.3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14.4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11" spans="1:18" x14ac:dyDescent="0.3">
      <c r="D11" t="s">
        <v>117</v>
      </c>
    </row>
    <row r="31" spans="3:16" x14ac:dyDescent="0.3">
      <c r="C31" t="s">
        <v>117</v>
      </c>
      <c r="G31" t="s">
        <v>117</v>
      </c>
      <c r="L31" t="s">
        <v>117</v>
      </c>
      <c r="P31" t="s">
        <v>117</v>
      </c>
    </row>
  </sheetData>
  <sheetProtection algorithmName="SHA-512" hashValue="3eyxXKf1khjIX/0uqQpl3y0P4DDNYeQ++xPZzfRO4esTnOxeappl8s3l4BytZf+apVow0Kt3ayDz+0buWcABgg==" saltValue="CF2X63E0IJ+Ma3meulD8iQ==" spinCount="100000" sheet="1" objects="1" scenarios="1" selectLockedCells="1" selectUnlockedCells="1"/>
  <hyperlinks>
    <hyperlink ref="A34" r:id="rId1" display="https://www.winpartnersgroup.com/ " xr:uid="{D4664C56-C8A5-4C13-B7AD-70BC88AAAFAD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1"/>
  <sheetViews>
    <sheetView showGridLines="0" showRowColHeaders="0" zoomScaleNormal="100" workbookViewId="0">
      <selection activeCell="D8" sqref="D8"/>
    </sheetView>
  </sheetViews>
  <sheetFormatPr baseColWidth="10" defaultRowHeight="14.4" x14ac:dyDescent="0.3"/>
  <cols>
    <col min="1" max="1" width="17.44140625" customWidth="1"/>
    <col min="2" max="2" width="11.5546875" customWidth="1"/>
    <col min="3" max="3" width="27.21875" customWidth="1"/>
    <col min="4" max="4" width="12.109375" bestFit="1" customWidth="1"/>
    <col min="5" max="5" width="6.44140625" customWidth="1"/>
    <col min="6" max="6" width="29.109375" customWidth="1"/>
    <col min="11" max="11" width="16.88671875" bestFit="1" customWidth="1"/>
  </cols>
  <sheetData>
    <row r="1" spans="2:13" ht="25.8" x14ac:dyDescent="0.5">
      <c r="B1" s="22" t="s">
        <v>143</v>
      </c>
    </row>
    <row r="3" spans="2:13" ht="21" x14ac:dyDescent="0.4">
      <c r="B3" s="87">
        <v>1</v>
      </c>
      <c r="C3" s="20" t="s">
        <v>25</v>
      </c>
      <c r="H3" s="87">
        <v>4</v>
      </c>
      <c r="I3" s="20" t="s">
        <v>73</v>
      </c>
    </row>
    <row r="4" spans="2:13" ht="21" x14ac:dyDescent="0.4">
      <c r="B4" s="19" t="s">
        <v>135</v>
      </c>
      <c r="D4" s="17"/>
      <c r="E4" s="17"/>
      <c r="I4" s="19" t="s">
        <v>128</v>
      </c>
    </row>
    <row r="5" spans="2:13" x14ac:dyDescent="0.3">
      <c r="B5" s="19" t="s">
        <v>121</v>
      </c>
      <c r="E5" s="18"/>
      <c r="I5" s="19" t="s">
        <v>129</v>
      </c>
    </row>
    <row r="6" spans="2:13" x14ac:dyDescent="0.3">
      <c r="D6" s="79" t="s">
        <v>136</v>
      </c>
      <c r="J6" s="4" t="s">
        <v>126</v>
      </c>
      <c r="L6" s="46" t="s">
        <v>127</v>
      </c>
    </row>
    <row r="7" spans="2:13" x14ac:dyDescent="0.3">
      <c r="C7" s="6" t="s">
        <v>137</v>
      </c>
      <c r="D7" s="52">
        <v>4</v>
      </c>
      <c r="E7" s="18"/>
      <c r="J7" s="6" t="s">
        <v>74</v>
      </c>
      <c r="K7" s="52">
        <v>3</v>
      </c>
      <c r="L7" s="49">
        <v>10</v>
      </c>
      <c r="M7" s="45">
        <f>L7/$L$10</f>
        <v>0.16666666666666666</v>
      </c>
    </row>
    <row r="8" spans="2:13" x14ac:dyDescent="0.3">
      <c r="C8" s="6" t="s">
        <v>138</v>
      </c>
      <c r="D8" s="52">
        <v>0</v>
      </c>
      <c r="J8" s="83" t="s">
        <v>76</v>
      </c>
      <c r="K8" s="85">
        <v>2</v>
      </c>
      <c r="L8" s="86">
        <v>20</v>
      </c>
      <c r="M8" s="45">
        <f>L8/$L$10</f>
        <v>0.33333333333333331</v>
      </c>
    </row>
    <row r="9" spans="2:13" x14ac:dyDescent="0.3">
      <c r="C9" s="6" t="s">
        <v>139</v>
      </c>
      <c r="D9" s="52">
        <v>0</v>
      </c>
      <c r="J9" s="6" t="s">
        <v>75</v>
      </c>
      <c r="K9" s="52">
        <v>1</v>
      </c>
      <c r="L9" s="49">
        <v>30</v>
      </c>
      <c r="M9" s="45">
        <f>L9/$L$10</f>
        <v>0.5</v>
      </c>
    </row>
    <row r="10" spans="2:13" x14ac:dyDescent="0.3">
      <c r="C10" s="6" t="s">
        <v>27</v>
      </c>
      <c r="D10" s="5">
        <f>SUM(D7:D9)</f>
        <v>4</v>
      </c>
      <c r="J10" s="6" t="s">
        <v>77</v>
      </c>
      <c r="K10" s="5">
        <f>AVERAGE(K7:K9)</f>
        <v>2</v>
      </c>
      <c r="L10" s="44">
        <f>SUM(L7:L9)</f>
        <v>60</v>
      </c>
      <c r="M10" s="45">
        <f>L10/$L$10</f>
        <v>1</v>
      </c>
    </row>
    <row r="11" spans="2:13" x14ac:dyDescent="0.3">
      <c r="J11" s="4" t="s">
        <v>130</v>
      </c>
    </row>
    <row r="12" spans="2:13" ht="21" x14ac:dyDescent="0.4">
      <c r="B12" s="87">
        <v>2</v>
      </c>
      <c r="C12" s="20" t="s">
        <v>26</v>
      </c>
      <c r="J12" s="6" t="s">
        <v>74</v>
      </c>
      <c r="K12" s="52">
        <v>2</v>
      </c>
    </row>
    <row r="13" spans="2:13" ht="21" x14ac:dyDescent="0.4">
      <c r="B13" s="19" t="s">
        <v>31</v>
      </c>
      <c r="D13" s="17"/>
      <c r="E13" s="17"/>
      <c r="J13" s="6" t="s">
        <v>75</v>
      </c>
      <c r="K13" s="52">
        <v>1</v>
      </c>
    </row>
    <row r="14" spans="2:13" x14ac:dyDescent="0.3">
      <c r="B14" s="19" t="s">
        <v>32</v>
      </c>
      <c r="K14" s="5">
        <f>AVERAGE(K12:K13)</f>
        <v>1.5</v>
      </c>
    </row>
    <row r="15" spans="2:13" x14ac:dyDescent="0.3">
      <c r="B15" s="18"/>
      <c r="J15" s="4" t="s">
        <v>78</v>
      </c>
      <c r="K15" s="5">
        <f>AVERAGE(K10,K14)</f>
        <v>1.75</v>
      </c>
    </row>
    <row r="16" spans="2:13" x14ac:dyDescent="0.3">
      <c r="C16" s="6" t="s">
        <v>122</v>
      </c>
      <c r="D16" s="49">
        <v>5</v>
      </c>
    </row>
    <row r="17" spans="2:13" ht="21" x14ac:dyDescent="0.4">
      <c r="B17" s="18"/>
      <c r="C17" s="6" t="s">
        <v>140</v>
      </c>
      <c r="D17" s="49">
        <v>100</v>
      </c>
      <c r="E17" s="18"/>
      <c r="H17" s="120" t="s">
        <v>30</v>
      </c>
      <c r="I17" s="121"/>
      <c r="J17" s="121"/>
      <c r="K17" s="121"/>
      <c r="L17" s="121"/>
      <c r="M17" s="122"/>
    </row>
    <row r="18" spans="2:13" ht="14.4" customHeight="1" x14ac:dyDescent="0.3">
      <c r="C18" s="6" t="s">
        <v>123</v>
      </c>
      <c r="D18" s="44">
        <f>D17/D16</f>
        <v>20</v>
      </c>
      <c r="E18" s="18"/>
      <c r="H18" s="123" t="s">
        <v>144</v>
      </c>
      <c r="I18" s="124"/>
      <c r="J18" s="124"/>
      <c r="K18" s="124"/>
      <c r="L18" s="124"/>
      <c r="M18" s="125"/>
    </row>
    <row r="19" spans="2:13" x14ac:dyDescent="0.3">
      <c r="B19" s="21"/>
      <c r="C19" s="83" t="s">
        <v>124</v>
      </c>
      <c r="D19" s="84">
        <v>0.65</v>
      </c>
      <c r="E19" s="18"/>
      <c r="H19" s="93"/>
      <c r="I19" s="94"/>
      <c r="J19" s="94"/>
      <c r="K19" s="94"/>
      <c r="L19" s="94"/>
      <c r="M19" s="95"/>
    </row>
    <row r="20" spans="2:13" ht="21" x14ac:dyDescent="0.4">
      <c r="B20" s="18"/>
      <c r="C20" s="6" t="s">
        <v>125</v>
      </c>
      <c r="D20" s="44">
        <f>D16*D19</f>
        <v>3.25</v>
      </c>
      <c r="E20" s="18"/>
      <c r="H20" s="96"/>
      <c r="I20" s="94"/>
      <c r="J20" s="90" t="str">
        <f>IF(D7&gt;0,C7,IF(D8&gt;0,C8,IF(D9&gt;0,C9,0)))</f>
        <v>Línea Económica</v>
      </c>
      <c r="K20" s="91">
        <f>(D28*D27)*D29*(D20*D18)*K15</f>
        <v>18200</v>
      </c>
      <c r="L20" s="94"/>
      <c r="M20" s="95"/>
    </row>
    <row r="21" spans="2:13" ht="15.6" x14ac:dyDescent="0.3">
      <c r="H21" s="96"/>
      <c r="I21" s="94"/>
      <c r="J21" s="88" t="s">
        <v>131</v>
      </c>
      <c r="K21" s="97">
        <f>K20/K15</f>
        <v>10400</v>
      </c>
      <c r="L21" s="89" t="s">
        <v>35</v>
      </c>
      <c r="M21" s="95"/>
    </row>
    <row r="22" spans="2:13" ht="15.6" x14ac:dyDescent="0.3">
      <c r="H22" s="96"/>
      <c r="I22" s="94"/>
      <c r="J22" s="88" t="s">
        <v>131</v>
      </c>
      <c r="K22" s="97">
        <f>K21/D29</f>
        <v>2600</v>
      </c>
      <c r="L22" s="89" t="s">
        <v>36</v>
      </c>
      <c r="M22" s="95"/>
    </row>
    <row r="23" spans="2:13" ht="21" x14ac:dyDescent="0.4">
      <c r="B23" s="87">
        <v>3</v>
      </c>
      <c r="C23" s="20" t="s">
        <v>28</v>
      </c>
      <c r="H23" s="96"/>
      <c r="I23" s="94"/>
      <c r="J23" s="88" t="s">
        <v>131</v>
      </c>
      <c r="K23" s="97">
        <f>K22/D27</f>
        <v>520</v>
      </c>
      <c r="L23" s="89" t="s">
        <v>37</v>
      </c>
      <c r="M23" s="95"/>
    </row>
    <row r="24" spans="2:13" ht="21" x14ac:dyDescent="0.4">
      <c r="B24" s="19" t="s">
        <v>34</v>
      </c>
      <c r="D24" s="17"/>
      <c r="E24" s="17"/>
      <c r="H24" s="96"/>
      <c r="I24" s="94"/>
      <c r="J24" s="88" t="s">
        <v>131</v>
      </c>
      <c r="K24" s="97">
        <f>K23/D28</f>
        <v>65</v>
      </c>
      <c r="L24" s="89" t="s">
        <v>38</v>
      </c>
      <c r="M24" s="95"/>
    </row>
    <row r="25" spans="2:13" x14ac:dyDescent="0.3">
      <c r="B25" s="19" t="s">
        <v>33</v>
      </c>
      <c r="E25" s="18"/>
      <c r="H25" s="96"/>
      <c r="I25" s="94"/>
      <c r="J25" s="94"/>
      <c r="K25" s="94"/>
      <c r="L25" s="94"/>
      <c r="M25" s="95"/>
    </row>
    <row r="26" spans="2:13" ht="21" x14ac:dyDescent="0.4">
      <c r="H26" s="96"/>
      <c r="I26" s="94"/>
      <c r="J26" s="90" t="str">
        <f>J21</f>
        <v>Productos a vender</v>
      </c>
      <c r="K26" s="92">
        <f>K21</f>
        <v>10400</v>
      </c>
      <c r="L26" s="94"/>
      <c r="M26" s="95"/>
    </row>
    <row r="27" spans="2:13" ht="15.6" x14ac:dyDescent="0.3">
      <c r="C27" s="6" t="s">
        <v>41</v>
      </c>
      <c r="D27" s="49">
        <v>5</v>
      </c>
      <c r="H27" s="96"/>
      <c r="I27" s="94"/>
      <c r="J27" s="88" t="s">
        <v>39</v>
      </c>
      <c r="K27" s="97">
        <f>K21/$D$30</f>
        <v>4550</v>
      </c>
      <c r="L27" s="89" t="s">
        <v>35</v>
      </c>
      <c r="M27" s="95"/>
    </row>
    <row r="28" spans="2:13" ht="15.6" x14ac:dyDescent="0.3">
      <c r="C28" s="6" t="s">
        <v>42</v>
      </c>
      <c r="D28" s="49">
        <v>8</v>
      </c>
      <c r="H28" s="96"/>
      <c r="I28" s="94"/>
      <c r="J28" s="88" t="s">
        <v>39</v>
      </c>
      <c r="K28" s="97">
        <f>K22/$D$30</f>
        <v>1137.5</v>
      </c>
      <c r="L28" s="89" t="s">
        <v>36</v>
      </c>
      <c r="M28" s="95"/>
    </row>
    <row r="29" spans="2:13" ht="15.6" x14ac:dyDescent="0.3">
      <c r="C29" s="6" t="s">
        <v>29</v>
      </c>
      <c r="D29" s="53">
        <v>4</v>
      </c>
      <c r="H29" s="96"/>
      <c r="I29" s="94"/>
      <c r="J29" s="88" t="s">
        <v>39</v>
      </c>
      <c r="K29" s="97">
        <f>K23/$D$30</f>
        <v>227.5</v>
      </c>
      <c r="L29" s="89" t="s">
        <v>37</v>
      </c>
      <c r="M29" s="95"/>
    </row>
    <row r="30" spans="2:13" ht="15.6" x14ac:dyDescent="0.3">
      <c r="C30" s="6" t="s">
        <v>40</v>
      </c>
      <c r="D30" s="43">
        <f>D10/K15</f>
        <v>2.2857142857142856</v>
      </c>
      <c r="H30" s="98"/>
      <c r="I30" s="99"/>
      <c r="J30" s="100" t="s">
        <v>39</v>
      </c>
      <c r="K30" s="101">
        <f>K24/$D$30</f>
        <v>28.4375</v>
      </c>
      <c r="L30" s="102" t="s">
        <v>38</v>
      </c>
      <c r="M30" s="103"/>
    </row>
    <row r="31" spans="2:13" x14ac:dyDescent="0.3">
      <c r="C31" s="6"/>
    </row>
  </sheetData>
  <sheetProtection algorithmName="SHA-512" hashValue="mkH0+hwhicoakg4tzzqsaQGX/wjaf84L1N3jJNZ2XhthLlKm1xButugtObEwyV3hfP2WZVU2nokpBeWUNBEiIg==" saltValue="ngbRcfqg6PVUn+O8tAXjRA==" spinCount="100000" sheet="1" objects="1" scenarios="1" selectLockedCells="1"/>
  <mergeCells count="2">
    <mergeCell ref="H17:M17"/>
    <mergeCell ref="H18:M1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showRowColHeaders="0" zoomScaleNormal="100" workbookViewId="0">
      <selection activeCell="G29" sqref="G29"/>
    </sheetView>
  </sheetViews>
  <sheetFormatPr baseColWidth="10" defaultRowHeight="14.4" x14ac:dyDescent="0.3"/>
  <cols>
    <col min="1" max="1" width="8.6640625" customWidth="1"/>
    <col min="2" max="2" width="11.5546875" customWidth="1"/>
    <col min="3" max="3" width="15.77734375" customWidth="1"/>
    <col min="4" max="4" width="9.77734375" customWidth="1"/>
    <col min="5" max="5" width="6.44140625" customWidth="1"/>
    <col min="6" max="6" width="46.88671875" customWidth="1"/>
    <col min="7" max="7" width="16.88671875" bestFit="1" customWidth="1"/>
    <col min="8" max="8" width="2" style="29" customWidth="1"/>
    <col min="11" max="14" width="15.77734375" customWidth="1"/>
    <col min="15" max="15" width="3.88671875" customWidth="1"/>
  </cols>
  <sheetData>
    <row r="1" spans="2:16" ht="25.8" x14ac:dyDescent="0.5">
      <c r="B1" s="22" t="s">
        <v>145</v>
      </c>
    </row>
    <row r="2" spans="2:16" ht="11.4" customHeight="1" x14ac:dyDescent="0.3"/>
    <row r="3" spans="2:16" ht="21" x14ac:dyDescent="0.4">
      <c r="B3" s="87">
        <v>1</v>
      </c>
      <c r="C3" s="20" t="s">
        <v>63</v>
      </c>
      <c r="I3" s="130" t="s">
        <v>53</v>
      </c>
      <c r="J3" s="130"/>
      <c r="K3" s="130"/>
      <c r="L3" s="130"/>
      <c r="M3" s="130"/>
      <c r="N3" s="130"/>
      <c r="O3" s="130"/>
    </row>
    <row r="4" spans="2:16" x14ac:dyDescent="0.3">
      <c r="B4" s="19" t="s">
        <v>50</v>
      </c>
      <c r="I4" s="31"/>
      <c r="J4" s="31"/>
      <c r="K4" s="31"/>
      <c r="L4" s="31"/>
      <c r="M4" s="31"/>
      <c r="N4" s="31"/>
      <c r="O4" s="31"/>
    </row>
    <row r="5" spans="2:16" ht="18" x14ac:dyDescent="0.35">
      <c r="B5" s="19" t="s">
        <v>147</v>
      </c>
      <c r="I5" s="31"/>
      <c r="J5" s="32"/>
      <c r="K5" s="33" t="s">
        <v>14</v>
      </c>
      <c r="L5" s="33" t="s">
        <v>60</v>
      </c>
      <c r="M5" s="33" t="s">
        <v>61</v>
      </c>
      <c r="N5" s="33" t="s">
        <v>58</v>
      </c>
      <c r="O5" s="31"/>
    </row>
    <row r="6" spans="2:16" ht="18" x14ac:dyDescent="0.35">
      <c r="B6" s="19" t="s">
        <v>119</v>
      </c>
      <c r="I6" s="31"/>
      <c r="J6" s="32" t="s">
        <v>54</v>
      </c>
      <c r="K6" s="30">
        <f>SUM(C21:C23)</f>
        <v>72800</v>
      </c>
      <c r="L6" s="30">
        <f>SUM(K21:K23)</f>
        <v>47320</v>
      </c>
      <c r="M6" s="30">
        <f>SUM(N21:N23)</f>
        <v>7280</v>
      </c>
      <c r="N6" s="41">
        <f>K6-L6-M6</f>
        <v>18200</v>
      </c>
      <c r="O6" s="31"/>
    </row>
    <row r="7" spans="2:16" ht="18" x14ac:dyDescent="0.35">
      <c r="B7" s="19"/>
      <c r="I7" s="31"/>
      <c r="J7" s="32" t="s">
        <v>55</v>
      </c>
      <c r="K7" s="30">
        <f>SUM(C24:C26)</f>
        <v>66733.333333333328</v>
      </c>
      <c r="L7" s="30">
        <f>SUM(K24:K26)</f>
        <v>43376.666666666664</v>
      </c>
      <c r="M7" s="30">
        <f>SUM(N24:N26)</f>
        <v>6673.3333333333339</v>
      </c>
      <c r="N7" s="41">
        <f t="shared" ref="N7:N9" si="0">K7-L7-M7</f>
        <v>16683.333333333328</v>
      </c>
      <c r="O7" s="31"/>
    </row>
    <row r="8" spans="2:16" ht="18" x14ac:dyDescent="0.35">
      <c r="E8" s="23" t="str">
        <f>'Multiplicando su Negocio'!J20</f>
        <v>Línea Económica</v>
      </c>
      <c r="F8" s="26" t="s">
        <v>49</v>
      </c>
      <c r="G8" s="104">
        <f>'Multiplicando su Negocio'!K20</f>
        <v>18200</v>
      </c>
      <c r="H8" s="36"/>
      <c r="I8" s="34"/>
      <c r="J8" s="32" t="s">
        <v>56</v>
      </c>
      <c r="K8" s="30">
        <f>SUM(C27:C29)</f>
        <v>51566.666666666664</v>
      </c>
      <c r="L8" s="30">
        <f>SUM(K27:K29)</f>
        <v>33518.333333333336</v>
      </c>
      <c r="M8" s="30">
        <f>SUM(N27:N29)</f>
        <v>5156.666666666667</v>
      </c>
      <c r="N8" s="41">
        <f t="shared" si="0"/>
        <v>12891.666666666661</v>
      </c>
      <c r="O8" s="31"/>
    </row>
    <row r="9" spans="2:16" ht="18" x14ac:dyDescent="0.35">
      <c r="F9" s="25" t="s">
        <v>44</v>
      </c>
      <c r="G9" s="48" t="s">
        <v>15</v>
      </c>
      <c r="H9" s="37"/>
      <c r="I9" s="31"/>
      <c r="J9" s="32" t="s">
        <v>57</v>
      </c>
      <c r="K9" s="30">
        <f>SUM(C30:C32)</f>
        <v>81900</v>
      </c>
      <c r="L9" s="30">
        <f>SUM(K30:K32)</f>
        <v>53235</v>
      </c>
      <c r="M9" s="30">
        <f>SUM(N30:N32)</f>
        <v>8190</v>
      </c>
      <c r="N9" s="41">
        <f t="shared" si="0"/>
        <v>20475</v>
      </c>
      <c r="O9" s="31"/>
    </row>
    <row r="10" spans="2:16" ht="18" customHeight="1" x14ac:dyDescent="0.35">
      <c r="B10" s="27"/>
      <c r="C10" s="27"/>
      <c r="D10" s="27"/>
      <c r="E10" s="27"/>
      <c r="F10" s="25" t="s">
        <v>45</v>
      </c>
      <c r="G10" s="48">
        <v>6</v>
      </c>
      <c r="H10" s="37"/>
      <c r="I10" s="31"/>
      <c r="J10" s="32" t="s">
        <v>59</v>
      </c>
      <c r="K10" s="35">
        <f>SUM(K6:K9)</f>
        <v>273000</v>
      </c>
      <c r="L10" s="35">
        <f t="shared" ref="L10:N10" si="1">SUM(L6:L9)</f>
        <v>177450</v>
      </c>
      <c r="M10" s="35">
        <f t="shared" si="1"/>
        <v>27300</v>
      </c>
      <c r="N10" s="35">
        <f t="shared" si="1"/>
        <v>68249.999999999985</v>
      </c>
      <c r="O10" s="31"/>
      <c r="P10" s="42">
        <f>N10/K10</f>
        <v>0.24999999999999994</v>
      </c>
    </row>
    <row r="11" spans="2:16" x14ac:dyDescent="0.3">
      <c r="F11" s="25" t="s">
        <v>146</v>
      </c>
      <c r="G11" s="49" t="s">
        <v>118</v>
      </c>
      <c r="H11" s="38"/>
      <c r="I11" s="129" t="s">
        <v>79</v>
      </c>
      <c r="J11" s="129"/>
      <c r="K11" s="129"/>
      <c r="L11" s="129"/>
      <c r="M11" s="129"/>
      <c r="N11" s="129"/>
      <c r="O11" s="129"/>
    </row>
    <row r="12" spans="2:16" x14ac:dyDescent="0.3">
      <c r="I12" s="19"/>
    </row>
    <row r="13" spans="2:16" ht="21" x14ac:dyDescent="0.4">
      <c r="B13" s="87">
        <v>2</v>
      </c>
      <c r="C13" s="20" t="s">
        <v>62</v>
      </c>
      <c r="I13" s="87">
        <v>3</v>
      </c>
      <c r="J13" s="20" t="s">
        <v>64</v>
      </c>
      <c r="K13" s="20"/>
    </row>
    <row r="14" spans="2:16" ht="21" x14ac:dyDescent="0.4">
      <c r="B14" s="19" t="s">
        <v>46</v>
      </c>
      <c r="D14" s="17"/>
      <c r="E14" s="17"/>
      <c r="J14" s="19" t="s">
        <v>65</v>
      </c>
    </row>
    <row r="15" spans="2:16" x14ac:dyDescent="0.3">
      <c r="B15" s="19" t="s">
        <v>48</v>
      </c>
      <c r="E15" s="18"/>
      <c r="J15" s="19" t="s">
        <v>66</v>
      </c>
    </row>
    <row r="16" spans="2:16" x14ac:dyDescent="0.3">
      <c r="B16" t="s">
        <v>120</v>
      </c>
      <c r="G16" s="48" t="s">
        <v>19</v>
      </c>
      <c r="H16" s="37"/>
      <c r="J16" t="s">
        <v>67</v>
      </c>
      <c r="M16" t="s">
        <v>70</v>
      </c>
    </row>
    <row r="17" spans="2:14" x14ac:dyDescent="0.3">
      <c r="B17" t="s">
        <v>47</v>
      </c>
      <c r="G17" s="48">
        <v>5</v>
      </c>
      <c r="H17" s="37"/>
      <c r="J17" t="s">
        <v>68</v>
      </c>
      <c r="M17" t="s">
        <v>68</v>
      </c>
    </row>
    <row r="18" spans="2:14" x14ac:dyDescent="0.3">
      <c r="B18" t="s">
        <v>43</v>
      </c>
      <c r="J18" t="s">
        <v>69</v>
      </c>
      <c r="M18" t="s">
        <v>69</v>
      </c>
    </row>
    <row r="19" spans="2:14" x14ac:dyDescent="0.3">
      <c r="K19" s="51">
        <v>0.65</v>
      </c>
      <c r="N19" s="51">
        <v>0.1</v>
      </c>
    </row>
    <row r="20" spans="2:14" ht="15.6" x14ac:dyDescent="0.3">
      <c r="B20" s="126" t="s">
        <v>7</v>
      </c>
      <c r="C20" s="128"/>
      <c r="D20" s="127"/>
      <c r="F20" s="40" t="s">
        <v>132</v>
      </c>
      <c r="J20" s="126" t="s">
        <v>51</v>
      </c>
      <c r="K20" s="127"/>
      <c r="M20" s="126" t="s">
        <v>52</v>
      </c>
      <c r="N20" s="127"/>
    </row>
    <row r="21" spans="2:14" ht="15.6" customHeight="1" x14ac:dyDescent="0.3">
      <c r="B21" s="14" t="s">
        <v>9</v>
      </c>
      <c r="C21" s="16">
        <f>IF($G$16="Enero",'Multiplicando su Negocio'!$K$20*'Presupuesto Anual Franquicias'!D21/'Presupuesto Anual Franquicias'!$G$10,'Multiplicando su Negocio'!$K$20*'Presupuesto Anual Franquicias'!D21/'Presupuesto Anual Franquicias'!$G$10)</f>
        <v>27300</v>
      </c>
      <c r="D21" s="24">
        <f>IF($G$16="Enero",$G$17,G21)</f>
        <v>9</v>
      </c>
      <c r="F21" s="25" t="str">
        <f>B21</f>
        <v>Enero</v>
      </c>
      <c r="G21" s="50">
        <v>9</v>
      </c>
      <c r="H21" s="39"/>
      <c r="J21" s="14" t="s">
        <v>9</v>
      </c>
      <c r="K21" s="28">
        <f>C21*$K$19</f>
        <v>17745</v>
      </c>
      <c r="M21" s="14" t="s">
        <v>9</v>
      </c>
      <c r="N21" s="28">
        <f>C21*$N$19</f>
        <v>2730</v>
      </c>
    </row>
    <row r="22" spans="2:14" x14ac:dyDescent="0.3">
      <c r="B22" s="14" t="s">
        <v>12</v>
      </c>
      <c r="C22" s="16">
        <f>IF($G$16="Febrero",'Multiplicando su Negocio'!$K$20*'Presupuesto Anual Franquicias'!D22/'Presupuesto Anual Franquicias'!$G$10,'Multiplicando su Negocio'!$K$20*'Presupuesto Anual Franquicias'!D22/'Presupuesto Anual Franquicias'!$G$10)</f>
        <v>24266.666666666668</v>
      </c>
      <c r="D22" s="24">
        <f>IF($G$16="Febrero",$G$17,G22)</f>
        <v>8</v>
      </c>
      <c r="F22" s="25" t="str">
        <f t="shared" ref="F22:F32" si="2">B22</f>
        <v>Febrero</v>
      </c>
      <c r="G22" s="50">
        <v>8</v>
      </c>
      <c r="H22" s="39"/>
      <c r="J22" s="14" t="s">
        <v>12</v>
      </c>
      <c r="K22" s="28">
        <f t="shared" ref="K22:K32" si="3">C22*$K$19</f>
        <v>15773.333333333334</v>
      </c>
      <c r="M22" s="14" t="s">
        <v>12</v>
      </c>
      <c r="N22" s="28">
        <f t="shared" ref="N22:N32" si="4">C22*$N$19</f>
        <v>2426.666666666667</v>
      </c>
    </row>
    <row r="23" spans="2:14" x14ac:dyDescent="0.3">
      <c r="B23" s="14" t="s">
        <v>13</v>
      </c>
      <c r="C23" s="16">
        <f>IF($G$16="Marzo",'Multiplicando su Negocio'!$K$20*'Presupuesto Anual Franquicias'!D23/'Presupuesto Anual Franquicias'!$G$10,'Multiplicando su Negocio'!$K$20*'Presupuesto Anual Franquicias'!D23/'Presupuesto Anual Franquicias'!$G$10)</f>
        <v>21233.333333333332</v>
      </c>
      <c r="D23" s="24">
        <f>IF($G$16="Marzo",$G$17,G23)</f>
        <v>7</v>
      </c>
      <c r="F23" s="25" t="str">
        <f t="shared" si="2"/>
        <v>Marzo</v>
      </c>
      <c r="G23" s="50">
        <v>7</v>
      </c>
      <c r="H23" s="39"/>
      <c r="J23" s="14" t="s">
        <v>13</v>
      </c>
      <c r="K23" s="28">
        <f t="shared" si="3"/>
        <v>13801.666666666666</v>
      </c>
      <c r="M23" s="14" t="s">
        <v>13</v>
      </c>
      <c r="N23" s="28">
        <f t="shared" si="4"/>
        <v>2123.3333333333335</v>
      </c>
    </row>
    <row r="24" spans="2:14" x14ac:dyDescent="0.3">
      <c r="B24" s="14" t="s">
        <v>15</v>
      </c>
      <c r="C24" s="16">
        <f>IF($G$16="Abril",'Multiplicando su Negocio'!$K$20*'Presupuesto Anual Franquicias'!D24/'Presupuesto Anual Franquicias'!$G$10,'Multiplicando su Negocio'!$K$20*'Presupuesto Anual Franquicias'!D24/'Presupuesto Anual Franquicias'!$G$10)</f>
        <v>21233.333333333332</v>
      </c>
      <c r="D24" s="24">
        <f>IF($G$16="Abril",$G$17,G24)</f>
        <v>7</v>
      </c>
      <c r="F24" s="25" t="str">
        <f t="shared" si="2"/>
        <v>Abril</v>
      </c>
      <c r="G24" s="50">
        <v>7</v>
      </c>
      <c r="H24" s="39"/>
      <c r="J24" s="14" t="s">
        <v>15</v>
      </c>
      <c r="K24" s="28">
        <f t="shared" si="3"/>
        <v>13801.666666666666</v>
      </c>
      <c r="M24" s="14" t="s">
        <v>15</v>
      </c>
      <c r="N24" s="28">
        <f t="shared" si="4"/>
        <v>2123.3333333333335</v>
      </c>
    </row>
    <row r="25" spans="2:14" x14ac:dyDescent="0.3">
      <c r="B25" s="14" t="s">
        <v>16</v>
      </c>
      <c r="C25" s="16">
        <f>IF($G$16="Mayo",'Multiplicando su Negocio'!$K$20*'Presupuesto Anual Franquicias'!D25/'Presupuesto Anual Franquicias'!$G$10,'Multiplicando su Negocio'!$K$20*'Presupuesto Anual Franquicias'!D25/'Presupuesto Anual Franquicias'!$G$10)</f>
        <v>24266.666666666668</v>
      </c>
      <c r="D25" s="24">
        <f>IF($G$16="Mayo",$G$17,G25)</f>
        <v>8</v>
      </c>
      <c r="F25" s="25" t="str">
        <f t="shared" si="2"/>
        <v>Mayo</v>
      </c>
      <c r="G25" s="50">
        <v>8</v>
      </c>
      <c r="H25" s="39"/>
      <c r="J25" s="14" t="s">
        <v>16</v>
      </c>
      <c r="K25" s="28">
        <f t="shared" si="3"/>
        <v>15773.333333333334</v>
      </c>
      <c r="M25" s="14" t="s">
        <v>16</v>
      </c>
      <c r="N25" s="28">
        <f t="shared" si="4"/>
        <v>2426.666666666667</v>
      </c>
    </row>
    <row r="26" spans="2:14" x14ac:dyDescent="0.3">
      <c r="B26" s="14" t="s">
        <v>17</v>
      </c>
      <c r="C26" s="16">
        <f>IF($G$16="Junio",'Multiplicando su Negocio'!$K$20*'Presupuesto Anual Franquicias'!D26/'Presupuesto Anual Franquicias'!$G$10,'Multiplicando su Negocio'!$K$20*'Presupuesto Anual Franquicias'!D26/'Presupuesto Anual Franquicias'!$G$10)</f>
        <v>21233.333333333332</v>
      </c>
      <c r="D26" s="24">
        <f>IF($G$16="Junio",$G$17,G26)</f>
        <v>7</v>
      </c>
      <c r="F26" s="25" t="str">
        <f t="shared" si="2"/>
        <v>Junio</v>
      </c>
      <c r="G26" s="50">
        <v>7</v>
      </c>
      <c r="H26" s="39"/>
      <c r="J26" s="14" t="s">
        <v>17</v>
      </c>
      <c r="K26" s="28">
        <f t="shared" si="3"/>
        <v>13801.666666666666</v>
      </c>
      <c r="M26" s="14" t="s">
        <v>17</v>
      </c>
      <c r="N26" s="28">
        <f t="shared" si="4"/>
        <v>2123.3333333333335</v>
      </c>
    </row>
    <row r="27" spans="2:14" x14ac:dyDescent="0.3">
      <c r="B27" s="14" t="s">
        <v>18</v>
      </c>
      <c r="C27" s="16">
        <f>IF($G$16="Julio",'Multiplicando su Negocio'!$K$20*'Presupuesto Anual Franquicias'!D27/'Presupuesto Anual Franquicias'!$G$10,'Multiplicando su Negocio'!$K$20*'Presupuesto Anual Franquicias'!D27/'Presupuesto Anual Franquicias'!$G$10)</f>
        <v>15166.666666666666</v>
      </c>
      <c r="D27" s="24">
        <f>IF($G$16="Julio",$G$17,G27)</f>
        <v>5</v>
      </c>
      <c r="F27" s="25" t="str">
        <f t="shared" si="2"/>
        <v>Julio</v>
      </c>
      <c r="G27" s="50">
        <v>5</v>
      </c>
      <c r="H27" s="39"/>
      <c r="J27" s="14" t="s">
        <v>18</v>
      </c>
      <c r="K27" s="28">
        <f t="shared" si="3"/>
        <v>9858.3333333333339</v>
      </c>
      <c r="M27" s="14" t="s">
        <v>18</v>
      </c>
      <c r="N27" s="28">
        <f t="shared" si="4"/>
        <v>1516.6666666666667</v>
      </c>
    </row>
    <row r="28" spans="2:14" x14ac:dyDescent="0.3">
      <c r="B28" s="14" t="s">
        <v>19</v>
      </c>
      <c r="C28" s="16">
        <f>IF($G$16="Agosto",'Multiplicando su Negocio'!$K$20*'Presupuesto Anual Franquicias'!D28/'Presupuesto Anual Franquicias'!$G$10,'Multiplicando su Negocio'!$K$20*'Presupuesto Anual Franquicias'!D28/'Presupuesto Anual Franquicias'!$G$10)</f>
        <v>15166.666666666666</v>
      </c>
      <c r="D28" s="24">
        <f>IF($G$16="Agosto",$G$17,G28)</f>
        <v>5</v>
      </c>
      <c r="F28" s="25" t="str">
        <f t="shared" si="2"/>
        <v>Agosto</v>
      </c>
      <c r="G28" s="50">
        <v>5</v>
      </c>
      <c r="H28" s="39"/>
      <c r="J28" s="14" t="s">
        <v>19</v>
      </c>
      <c r="K28" s="28">
        <f t="shared" si="3"/>
        <v>9858.3333333333339</v>
      </c>
      <c r="M28" s="14" t="s">
        <v>19</v>
      </c>
      <c r="N28" s="28">
        <f t="shared" si="4"/>
        <v>1516.6666666666667</v>
      </c>
    </row>
    <row r="29" spans="2:14" x14ac:dyDescent="0.3">
      <c r="B29" s="14" t="s">
        <v>20</v>
      </c>
      <c r="C29" s="16">
        <f>IF($G$16="Septiembre",'Multiplicando su Negocio'!$K$20*'Presupuesto Anual Franquicias'!D29/'Presupuesto Anual Franquicias'!$G$10,'Multiplicando su Negocio'!$K$20*'Presupuesto Anual Franquicias'!D29/'Presupuesto Anual Franquicias'!$G$10)</f>
        <v>21233.333333333332</v>
      </c>
      <c r="D29" s="24">
        <f>IF($G$16="Septiembre",$G$17,G29)</f>
        <v>7</v>
      </c>
      <c r="F29" s="25" t="str">
        <f t="shared" si="2"/>
        <v>Septiembre</v>
      </c>
      <c r="G29" s="50">
        <v>7</v>
      </c>
      <c r="H29" s="39"/>
      <c r="J29" s="14" t="s">
        <v>20</v>
      </c>
      <c r="K29" s="28">
        <f t="shared" si="3"/>
        <v>13801.666666666666</v>
      </c>
      <c r="M29" s="14" t="s">
        <v>20</v>
      </c>
      <c r="N29" s="28">
        <f t="shared" si="4"/>
        <v>2123.3333333333335</v>
      </c>
    </row>
    <row r="30" spans="2:14" ht="14.4" customHeight="1" x14ac:dyDescent="0.3">
      <c r="B30" s="14" t="s">
        <v>21</v>
      </c>
      <c r="C30" s="16">
        <f>IF($G$16="Octubre",'Multiplicando su Negocio'!$K$20*'Presupuesto Anual Franquicias'!D30/'Presupuesto Anual Franquicias'!$G$10,'Multiplicando su Negocio'!$K$20*'Presupuesto Anual Franquicias'!D30/'Presupuesto Anual Franquicias'!$G$10)</f>
        <v>24266.666666666668</v>
      </c>
      <c r="D30" s="24">
        <f>IF($G$16="Octubre",$G$17,G30)</f>
        <v>8</v>
      </c>
      <c r="F30" s="25" t="str">
        <f t="shared" si="2"/>
        <v>Octubre</v>
      </c>
      <c r="G30" s="50">
        <v>8</v>
      </c>
      <c r="H30" s="39"/>
      <c r="J30" s="14" t="s">
        <v>21</v>
      </c>
      <c r="K30" s="28">
        <f t="shared" si="3"/>
        <v>15773.333333333334</v>
      </c>
      <c r="M30" s="14" t="s">
        <v>21</v>
      </c>
      <c r="N30" s="28">
        <f t="shared" si="4"/>
        <v>2426.666666666667</v>
      </c>
    </row>
    <row r="31" spans="2:14" x14ac:dyDescent="0.3">
      <c r="B31" s="14" t="s">
        <v>22</v>
      </c>
      <c r="C31" s="16">
        <f>IF($G$16="Noviembre",'Multiplicando su Negocio'!$K$20*'Presupuesto Anual Franquicias'!D31/'Presupuesto Anual Franquicias'!$G$10,'Multiplicando su Negocio'!$K$20*'Presupuesto Anual Franquicias'!D31/'Presupuesto Anual Franquicias'!$G$10)</f>
        <v>27300</v>
      </c>
      <c r="D31" s="24">
        <f>IF($G$16="Noviembre",$G$17,G31)</f>
        <v>9</v>
      </c>
      <c r="F31" s="25" t="str">
        <f t="shared" si="2"/>
        <v>Noviembre</v>
      </c>
      <c r="G31" s="50">
        <v>9</v>
      </c>
      <c r="H31" s="39"/>
      <c r="J31" s="14" t="s">
        <v>22</v>
      </c>
      <c r="K31" s="28">
        <f t="shared" si="3"/>
        <v>17745</v>
      </c>
      <c r="M31" s="14" t="s">
        <v>22</v>
      </c>
      <c r="N31" s="28">
        <f t="shared" si="4"/>
        <v>2730</v>
      </c>
    </row>
    <row r="32" spans="2:14" x14ac:dyDescent="0.3">
      <c r="B32" s="14" t="s">
        <v>23</v>
      </c>
      <c r="C32" s="16">
        <f>IF($G$16="Diciembre",'Multiplicando su Negocio'!$K$20*'Presupuesto Anual Franquicias'!D32/'Presupuesto Anual Franquicias'!$G$10,'Multiplicando su Negocio'!$K$20*'Presupuesto Anual Franquicias'!D32/'Presupuesto Anual Franquicias'!$G$10)</f>
        <v>30333.333333333332</v>
      </c>
      <c r="D32" s="24">
        <f>IF($G$16="Diciembre",$G$17,G32)</f>
        <v>10</v>
      </c>
      <c r="F32" s="25" t="str">
        <f t="shared" si="2"/>
        <v>Diciembre</v>
      </c>
      <c r="G32" s="50">
        <v>10</v>
      </c>
      <c r="H32" s="39"/>
      <c r="J32" s="14" t="s">
        <v>23</v>
      </c>
      <c r="K32" s="28">
        <f t="shared" si="3"/>
        <v>19716.666666666668</v>
      </c>
      <c r="M32" s="14" t="s">
        <v>23</v>
      </c>
      <c r="N32" s="28">
        <f t="shared" si="4"/>
        <v>3033.3333333333335</v>
      </c>
    </row>
    <row r="33" spans="2:14" x14ac:dyDescent="0.3">
      <c r="B33" s="105" t="s">
        <v>24</v>
      </c>
      <c r="C33" s="106">
        <f>SUM(C21:C32)</f>
        <v>273000</v>
      </c>
      <c r="D33" s="107">
        <v>1</v>
      </c>
      <c r="J33" s="105" t="s">
        <v>24</v>
      </c>
      <c r="K33" s="108">
        <f>SUM(K21:K32)</f>
        <v>177450</v>
      </c>
      <c r="M33" s="105" t="s">
        <v>24</v>
      </c>
      <c r="N33" s="108">
        <f>SUM(N21:N32)</f>
        <v>27300</v>
      </c>
    </row>
  </sheetData>
  <sheetProtection algorithmName="SHA-512" hashValue="svbtuO1CGuu5+FwLjT26FmxGnioVZeCT+fJc4vMmXq+LpJkPd964Uk0DNz/X3IYVqU5V4RwehQC0cOQa+Yqbog==" saltValue="81Lf61538FUVf8ZChrA93Q==" spinCount="100000" sheet="1" objects="1" scenarios="1" selectLockedCells="1"/>
  <mergeCells count="5">
    <mergeCell ref="J20:K20"/>
    <mergeCell ref="M20:N20"/>
    <mergeCell ref="B20:D20"/>
    <mergeCell ref="I11:O11"/>
    <mergeCell ref="I3:O3"/>
  </mergeCells>
  <dataValidations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Normal="100" workbookViewId="0">
      <selection activeCell="K11" sqref="K11"/>
    </sheetView>
  </sheetViews>
  <sheetFormatPr baseColWidth="10" defaultRowHeight="14.4" x14ac:dyDescent="0.3"/>
  <cols>
    <col min="1" max="1" width="6.44140625" customWidth="1"/>
    <col min="2" max="2" width="7.44140625" customWidth="1"/>
    <col min="4" max="4" width="12.109375" bestFit="1" customWidth="1"/>
    <col min="5" max="6" width="6.44140625" customWidth="1"/>
    <col min="7" max="7" width="3.44140625" style="29" customWidth="1"/>
    <col min="8" max="8" width="29.109375" customWidth="1"/>
    <col min="9" max="13" width="13.77734375" customWidth="1"/>
    <col min="14" max="14" width="13.77734375" hidden="1" customWidth="1"/>
    <col min="15" max="17" width="13.77734375" customWidth="1"/>
  </cols>
  <sheetData>
    <row r="1" spans="2:17" ht="25.8" x14ac:dyDescent="0.5">
      <c r="B1" s="136" t="str">
        <f>IF(Q7="SI","SU NEGOCIO PUEDE SER FRANQUICIADO","SU NEGOCIO NO PUEDE SER FRANQUICIADO")</f>
        <v>SU NEGOCIO PUEDE SER FRANQUICIADO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2:17" ht="7.8" customHeight="1" x14ac:dyDescent="0.3"/>
    <row r="3" spans="2:17" ht="21" x14ac:dyDescent="0.4">
      <c r="B3" s="87">
        <v>1</v>
      </c>
      <c r="C3" s="20" t="s">
        <v>80</v>
      </c>
      <c r="I3" s="87">
        <v>2</v>
      </c>
      <c r="J3" s="20" t="s">
        <v>82</v>
      </c>
      <c r="O3" s="20" t="s">
        <v>93</v>
      </c>
      <c r="P3" s="20"/>
      <c r="Q3" s="20"/>
    </row>
    <row r="4" spans="2:17" x14ac:dyDescent="0.3">
      <c r="B4" s="19" t="s">
        <v>81</v>
      </c>
      <c r="I4" s="19" t="s">
        <v>101</v>
      </c>
      <c r="O4" s="55" t="str">
        <f>IF((L21/L17)&gt;Q15,"Su negocio SI PUEDE SER FRANQUICIABLE.","Su negocio NO PUEDE SER FRANQUICIABLE.")</f>
        <v>Su negocio SI PUEDE SER FRANQUICIABLE.</v>
      </c>
    </row>
    <row r="5" spans="2:17" x14ac:dyDescent="0.3">
      <c r="I5" s="19" t="s">
        <v>103</v>
      </c>
      <c r="O5" s="55" t="str">
        <f>IF((L21/L17)&gt;15%,"Ventajas competitivas a multiplicar:","Lo que debemos analizar:")</f>
        <v>Ventajas competitivas a multiplicar:</v>
      </c>
    </row>
    <row r="6" spans="2:17" ht="15.6" x14ac:dyDescent="0.3">
      <c r="C6" s="137" t="s">
        <v>7</v>
      </c>
      <c r="D6" s="138"/>
      <c r="E6" s="138"/>
      <c r="F6" s="139"/>
      <c r="G6" s="62"/>
      <c r="I6" s="19" t="s">
        <v>102</v>
      </c>
    </row>
    <row r="7" spans="2:17" x14ac:dyDescent="0.3">
      <c r="C7" s="14" t="s">
        <v>9</v>
      </c>
      <c r="D7" s="16">
        <f>'Presupuesto Anual Franquicias'!C21</f>
        <v>27300</v>
      </c>
      <c r="E7" s="15">
        <f>'Presupuesto Anual Franquicias'!D21</f>
        <v>9</v>
      </c>
      <c r="F7" s="131" t="s">
        <v>10</v>
      </c>
      <c r="G7" s="63"/>
      <c r="O7" s="110"/>
      <c r="P7" s="111" t="s">
        <v>104</v>
      </c>
      <c r="Q7" s="118" t="str">
        <f>IF((L21/L17)&gt;15%,"SI","NO")</f>
        <v>SI</v>
      </c>
    </row>
    <row r="8" spans="2:17" x14ac:dyDescent="0.3">
      <c r="C8" s="14" t="s">
        <v>12</v>
      </c>
      <c r="D8" s="16">
        <f>'Presupuesto Anual Franquicias'!C22</f>
        <v>24266.666666666668</v>
      </c>
      <c r="E8" s="15">
        <f>'Presupuesto Anual Franquicias'!D22</f>
        <v>8</v>
      </c>
      <c r="F8" s="131"/>
      <c r="G8" s="63"/>
      <c r="J8" s="133" t="s">
        <v>5</v>
      </c>
      <c r="K8" s="134"/>
      <c r="L8" s="135"/>
      <c r="O8" s="112"/>
      <c r="P8" s="113" t="s">
        <v>87</v>
      </c>
      <c r="Q8" s="56">
        <f>J30</f>
        <v>10.367838541666666</v>
      </c>
    </row>
    <row r="9" spans="2:17" x14ac:dyDescent="0.3">
      <c r="C9" s="14" t="s">
        <v>13</v>
      </c>
      <c r="D9" s="16">
        <f>'Presupuesto Anual Franquicias'!C23</f>
        <v>21233.333333333332</v>
      </c>
      <c r="E9" s="15">
        <f>'Presupuesto Anual Franquicias'!D23</f>
        <v>7</v>
      </c>
      <c r="F9" s="131"/>
      <c r="G9" s="63"/>
      <c r="J9" s="7" t="s">
        <v>0</v>
      </c>
      <c r="K9" s="8" t="s">
        <v>1</v>
      </c>
      <c r="L9" s="9" t="s">
        <v>2</v>
      </c>
      <c r="O9" s="112"/>
      <c r="P9" s="113" t="s">
        <v>148</v>
      </c>
      <c r="Q9" s="56">
        <f>J31</f>
        <v>54.166666666666657</v>
      </c>
    </row>
    <row r="10" spans="2:17" x14ac:dyDescent="0.3">
      <c r="C10" s="14" t="s">
        <v>15</v>
      </c>
      <c r="D10" s="16">
        <f>'Presupuesto Anual Franquicias'!C24</f>
        <v>21233.333333333332</v>
      </c>
      <c r="E10" s="15">
        <f>'Presupuesto Anual Franquicias'!D24</f>
        <v>7</v>
      </c>
      <c r="F10" s="131"/>
      <c r="G10" s="63"/>
      <c r="J10" s="47">
        <f>'Multiplicando su Negocio'!D19</f>
        <v>0.65</v>
      </c>
      <c r="K10" s="10">
        <f>+J10+$K$11</f>
        <v>0.75</v>
      </c>
      <c r="L10" s="11">
        <f>+K10+$K$11</f>
        <v>0.85</v>
      </c>
      <c r="O10" s="112"/>
      <c r="P10" s="113" t="s">
        <v>141</v>
      </c>
      <c r="Q10" s="56">
        <f>J34</f>
        <v>133.33333333333331</v>
      </c>
    </row>
    <row r="11" spans="2:17" x14ac:dyDescent="0.3">
      <c r="C11" s="14" t="s">
        <v>16</v>
      </c>
      <c r="D11" s="16">
        <f>'Presupuesto Anual Franquicias'!C25</f>
        <v>24266.666666666668</v>
      </c>
      <c r="E11" s="15">
        <f>'Presupuesto Anual Franquicias'!D25</f>
        <v>8</v>
      </c>
      <c r="F11" s="131"/>
      <c r="G11" s="63"/>
      <c r="J11" s="12" t="s">
        <v>6</v>
      </c>
      <c r="K11" s="54">
        <v>0.1</v>
      </c>
      <c r="L11" s="13"/>
      <c r="O11" s="112"/>
      <c r="P11" s="113" t="s">
        <v>89</v>
      </c>
      <c r="Q11" s="28">
        <f>J20</f>
        <v>94.791666666666657</v>
      </c>
    </row>
    <row r="12" spans="2:17" x14ac:dyDescent="0.3">
      <c r="C12" s="14" t="s">
        <v>17</v>
      </c>
      <c r="D12" s="16">
        <f>'Presupuesto Anual Franquicias'!C26</f>
        <v>21233.333333333332</v>
      </c>
      <c r="E12" s="15">
        <f>'Presupuesto Anual Franquicias'!D26</f>
        <v>7</v>
      </c>
      <c r="F12" s="131"/>
      <c r="G12" s="63"/>
      <c r="O12" s="112"/>
      <c r="P12" s="113" t="s">
        <v>88</v>
      </c>
      <c r="Q12" s="56">
        <f>J26</f>
        <v>23.697916666666664</v>
      </c>
    </row>
    <row r="13" spans="2:17" x14ac:dyDescent="0.3">
      <c r="C13" s="14" t="s">
        <v>18</v>
      </c>
      <c r="D13" s="16">
        <f>'Presupuesto Anual Franquicias'!C27</f>
        <v>15166.666666666666</v>
      </c>
      <c r="E13" s="15">
        <f>'Presupuesto Anual Franquicias'!D27</f>
        <v>5</v>
      </c>
      <c r="F13" s="131"/>
      <c r="G13" s="63"/>
      <c r="I13" s="19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112"/>
      <c r="P13" s="113" t="s">
        <v>90</v>
      </c>
      <c r="Q13" s="28">
        <f>Q11*E34</f>
        <v>23.697916666666661</v>
      </c>
    </row>
    <row r="14" spans="2:17" ht="18" x14ac:dyDescent="0.35">
      <c r="C14" s="14" t="s">
        <v>19</v>
      </c>
      <c r="D14" s="16">
        <f>'Presupuesto Anual Franquicias'!C28</f>
        <v>15166.666666666666</v>
      </c>
      <c r="E14" s="15">
        <f>'Presupuesto Anual Franquicias'!D28</f>
        <v>5</v>
      </c>
      <c r="F14" s="131"/>
      <c r="G14" s="63"/>
      <c r="J14" s="132" t="s">
        <v>71</v>
      </c>
      <c r="K14" s="132"/>
      <c r="L14" s="132"/>
      <c r="O14" s="112"/>
      <c r="P14" s="113" t="s">
        <v>91</v>
      </c>
      <c r="Q14" s="57">
        <f>Q13/Q11</f>
        <v>0.24999999999999997</v>
      </c>
    </row>
    <row r="15" spans="2:17" x14ac:dyDescent="0.3">
      <c r="C15" s="14" t="s">
        <v>20</v>
      </c>
      <c r="D15" s="16">
        <f>'Presupuesto Anual Franquicias'!C29</f>
        <v>21233.333333333332</v>
      </c>
      <c r="E15" s="15">
        <f>'Presupuesto Anual Franquicias'!D29</f>
        <v>7</v>
      </c>
      <c r="F15" s="131"/>
      <c r="G15" s="63"/>
      <c r="J15" s="140" t="s">
        <v>72</v>
      </c>
      <c r="K15" s="140"/>
      <c r="L15" s="140"/>
      <c r="O15" s="112"/>
      <c r="P15" s="113" t="s">
        <v>92</v>
      </c>
      <c r="Q15" s="58">
        <v>0.18</v>
      </c>
    </row>
    <row r="16" spans="2:17" x14ac:dyDescent="0.3">
      <c r="C16" s="14" t="s">
        <v>21</v>
      </c>
      <c r="D16" s="16">
        <f>'Presupuesto Anual Franquicias'!C30</f>
        <v>24266.666666666668</v>
      </c>
      <c r="E16" s="15">
        <f>'Presupuesto Anual Franquicias'!D30</f>
        <v>8</v>
      </c>
      <c r="F16" s="131"/>
      <c r="G16" s="63"/>
      <c r="J16" s="1" t="s">
        <v>0</v>
      </c>
      <c r="K16" s="2" t="s">
        <v>1</v>
      </c>
      <c r="L16" s="3" t="s">
        <v>2</v>
      </c>
      <c r="N16" s="2" t="s">
        <v>116</v>
      </c>
      <c r="O16" s="114"/>
      <c r="P16" s="115" t="str">
        <f>IF(Q14&gt;Q15,"Por arriba de la Industria:","Por debajo de la Industria:")</f>
        <v>Por arriba de la Industria:</v>
      </c>
      <c r="Q16" s="117">
        <f>Q14-Q15</f>
        <v>6.9999999999999979E-2</v>
      </c>
    </row>
    <row r="17" spans="3:17" x14ac:dyDescent="0.3">
      <c r="C17" s="14" t="s">
        <v>22</v>
      </c>
      <c r="D17" s="16">
        <f>'Presupuesto Anual Franquicias'!C31</f>
        <v>27300</v>
      </c>
      <c r="E17" s="15">
        <f>'Presupuesto Anual Franquicias'!D31</f>
        <v>9</v>
      </c>
      <c r="F17" s="131"/>
      <c r="G17" s="63"/>
      <c r="H17" s="76"/>
      <c r="I17" s="77" t="s">
        <v>83</v>
      </c>
      <c r="J17" s="78">
        <f>MIN('Presupuesto Anual Franquicias'!$C$21:$C$32)</f>
        <v>15166.666666666666</v>
      </c>
      <c r="K17" s="78">
        <f>AVERAGE(J17,L17)</f>
        <v>22750</v>
      </c>
      <c r="L17" s="78">
        <f>MAX('Presupuesto Anual Franquicias'!$C$21:$C$32)</f>
        <v>30333.333333333332</v>
      </c>
      <c r="N17" s="5">
        <f>N18*'Multiplicando su Negocio'!D29</f>
        <v>15166.666666666664</v>
      </c>
    </row>
    <row r="18" spans="3:17" ht="21" x14ac:dyDescent="0.4">
      <c r="C18" s="80" t="s">
        <v>23</v>
      </c>
      <c r="D18" s="81">
        <f>'Presupuesto Anual Franquicias'!C32</f>
        <v>30333.333333333332</v>
      </c>
      <c r="E18" s="82">
        <f>'Presupuesto Anual Franquicias'!D32</f>
        <v>10</v>
      </c>
      <c r="F18" s="131"/>
      <c r="G18" s="63"/>
      <c r="H18" s="76"/>
      <c r="I18" s="77" t="s">
        <v>84</v>
      </c>
      <c r="J18" s="78">
        <f>J19*'Multiplicando su Negocio'!$D$27</f>
        <v>3791.6666666666661</v>
      </c>
      <c r="K18" s="78">
        <f>K19*'Multiplicando su Negocio'!$D$27</f>
        <v>5687.5</v>
      </c>
      <c r="L18" s="78">
        <f>L19*'Multiplicando su Negocio'!$D$27</f>
        <v>7583.3333333333339</v>
      </c>
      <c r="N18" s="5">
        <f>N19*'Multiplicando su Negocio'!D27</f>
        <v>3791.6666666666661</v>
      </c>
      <c r="O18" s="20" t="s">
        <v>100</v>
      </c>
      <c r="P18" s="20"/>
      <c r="Q18" s="20"/>
    </row>
    <row r="19" spans="3:17" x14ac:dyDescent="0.3">
      <c r="C19" s="105" t="s">
        <v>24</v>
      </c>
      <c r="D19" s="106">
        <f>SUM(D7:D18)</f>
        <v>273000</v>
      </c>
      <c r="E19" s="107">
        <v>1</v>
      </c>
      <c r="F19" s="109"/>
      <c r="G19" s="64"/>
      <c r="H19" s="76"/>
      <c r="I19" s="77" t="s">
        <v>85</v>
      </c>
      <c r="J19" s="78">
        <f>J20*'Multiplicando su Negocio'!$D$28</f>
        <v>758.33333333333326</v>
      </c>
      <c r="K19" s="78">
        <f>K20*'Multiplicando su Negocio'!$D$28</f>
        <v>1137.5</v>
      </c>
      <c r="L19" s="78">
        <f>L20*'Multiplicando su Negocio'!$D$28</f>
        <v>1516.6666666666667</v>
      </c>
      <c r="N19" s="5">
        <f>J20*'Multiplicando su Negocio'!D28</f>
        <v>758.33333333333326</v>
      </c>
      <c r="O19" s="19" t="s">
        <v>105</v>
      </c>
      <c r="P19" s="55"/>
    </row>
    <row r="20" spans="3:17" x14ac:dyDescent="0.3">
      <c r="H20" s="76"/>
      <c r="I20" s="77" t="s">
        <v>86</v>
      </c>
      <c r="J20" s="78">
        <f>J22*J26</f>
        <v>94.791666666666657</v>
      </c>
      <c r="K20" s="78">
        <f>K22*K26</f>
        <v>142.1875</v>
      </c>
      <c r="L20" s="78">
        <f>L22*L26</f>
        <v>189.58333333333334</v>
      </c>
      <c r="N20" s="5">
        <f>N19/'Multiplicando su Negocio'!D28</f>
        <v>94.791666666666657</v>
      </c>
      <c r="O20" s="19" t="s">
        <v>106</v>
      </c>
    </row>
    <row r="21" spans="3:17" ht="15.6" x14ac:dyDescent="0.3">
      <c r="C21" s="137" t="s">
        <v>8</v>
      </c>
      <c r="D21" s="138"/>
      <c r="E21" s="138"/>
      <c r="F21" s="139"/>
      <c r="G21" s="62"/>
      <c r="H21" s="68"/>
      <c r="I21" s="67" t="s">
        <v>3</v>
      </c>
      <c r="J21" s="69">
        <f>+J17*'Presupuesto Anual Franquicias'!$P$10</f>
        <v>3791.6666666666656</v>
      </c>
      <c r="K21" s="69">
        <f>+K17*'Presupuesto Anual Franquicias'!$P$10</f>
        <v>5687.4999999999991</v>
      </c>
      <c r="L21" s="69">
        <f>+L17*'Presupuesto Anual Franquicias'!$P$10</f>
        <v>7583.3333333333312</v>
      </c>
      <c r="O21" s="110"/>
      <c r="P21" s="111" t="s">
        <v>98</v>
      </c>
      <c r="Q21" s="59">
        <v>0.65</v>
      </c>
    </row>
    <row r="22" spans="3:17" ht="14.4" customHeight="1" x14ac:dyDescent="0.3">
      <c r="C22" s="14" t="s">
        <v>9</v>
      </c>
      <c r="D22" s="16">
        <f>D7*$E$34</f>
        <v>6824.9999999999982</v>
      </c>
      <c r="E22" s="15">
        <f t="shared" ref="E22:E33" si="0">E7</f>
        <v>9</v>
      </c>
      <c r="F22" s="131" t="s">
        <v>11</v>
      </c>
      <c r="G22" s="63"/>
      <c r="H22" s="68"/>
      <c r="I22" s="67" t="s">
        <v>4</v>
      </c>
      <c r="J22" s="69">
        <f>'Multiplicando su Negocio'!$D$10</f>
        <v>4</v>
      </c>
      <c r="K22" s="69">
        <f>J22-(J22*$K$11)</f>
        <v>3.6</v>
      </c>
      <c r="L22" s="69">
        <f>K22-(K22*$K$11)</f>
        <v>3.24</v>
      </c>
      <c r="O22" s="112"/>
      <c r="P22" s="113" t="s">
        <v>94</v>
      </c>
      <c r="Q22" s="28">
        <f>J17*Q21</f>
        <v>9858.3333333333339</v>
      </c>
    </row>
    <row r="23" spans="3:17" x14ac:dyDescent="0.3">
      <c r="C23" s="14" t="s">
        <v>12</v>
      </c>
      <c r="D23" s="16">
        <f t="shared" ref="D23:D33" si="1">D8*$E$34</f>
        <v>6066.6666666666661</v>
      </c>
      <c r="E23" s="15">
        <f t="shared" si="0"/>
        <v>8</v>
      </c>
      <c r="F23" s="131"/>
      <c r="G23" s="63"/>
      <c r="H23" s="60"/>
      <c r="I23" s="61" t="s">
        <v>107</v>
      </c>
      <c r="J23" s="65">
        <f>J17/J22</f>
        <v>3791.6666666666665</v>
      </c>
      <c r="K23" s="65">
        <f>K17/K22</f>
        <v>6319.4444444444443</v>
      </c>
      <c r="L23" s="65">
        <f>L17/L22</f>
        <v>9362.1399176954728</v>
      </c>
      <c r="N23" s="5"/>
      <c r="O23" s="112"/>
      <c r="P23" s="113" t="s">
        <v>96</v>
      </c>
      <c r="Q23" s="11">
        <v>0.05</v>
      </c>
    </row>
    <row r="24" spans="3:17" x14ac:dyDescent="0.3">
      <c r="C24" s="14" t="s">
        <v>13</v>
      </c>
      <c r="D24" s="16">
        <f t="shared" si="1"/>
        <v>5308.3333333333321</v>
      </c>
      <c r="E24" s="15">
        <f t="shared" si="0"/>
        <v>7</v>
      </c>
      <c r="F24" s="131"/>
      <c r="G24" s="63"/>
      <c r="H24" s="60"/>
      <c r="I24" s="61" t="s">
        <v>108</v>
      </c>
      <c r="J24" s="65">
        <f>J23/'Multiplicando su Negocio'!$D$29</f>
        <v>947.91666666666663</v>
      </c>
      <c r="K24" s="65">
        <f>K23/'Multiplicando su Negocio'!$D$29</f>
        <v>1579.8611111111111</v>
      </c>
      <c r="L24" s="65">
        <f>L23/'Multiplicando su Negocio'!$D$29</f>
        <v>2340.5349794238682</v>
      </c>
      <c r="N24" s="5">
        <f>J23*$J$22</f>
        <v>15166.666666666666</v>
      </c>
      <c r="O24" s="112"/>
      <c r="P24" s="113" t="s">
        <v>95</v>
      </c>
      <c r="Q24" s="28">
        <f>Q22*Q23</f>
        <v>492.91666666666674</v>
      </c>
    </row>
    <row r="25" spans="3:17" x14ac:dyDescent="0.3">
      <c r="C25" s="14" t="s">
        <v>15</v>
      </c>
      <c r="D25" s="16">
        <f t="shared" si="1"/>
        <v>5308.3333333333321</v>
      </c>
      <c r="E25" s="15">
        <f t="shared" si="0"/>
        <v>7</v>
      </c>
      <c r="F25" s="131"/>
      <c r="G25" s="63"/>
      <c r="H25" s="60"/>
      <c r="I25" s="61" t="s">
        <v>109</v>
      </c>
      <c r="J25" s="65">
        <f>J24/'Multiplicando su Negocio'!$D$27</f>
        <v>189.58333333333331</v>
      </c>
      <c r="K25" s="65">
        <f>K24/'Multiplicando su Negocio'!$D$27</f>
        <v>315.97222222222223</v>
      </c>
      <c r="L25" s="65">
        <f>L24/'Multiplicando su Negocio'!$D$27</f>
        <v>468.10699588477365</v>
      </c>
      <c r="N25" s="5">
        <f>J24*$J$22</f>
        <v>3791.6666666666665</v>
      </c>
      <c r="O25" s="112"/>
      <c r="P25" s="113" t="s">
        <v>97</v>
      </c>
      <c r="Q25" s="56">
        <v>15</v>
      </c>
    </row>
    <row r="26" spans="3:17" x14ac:dyDescent="0.3">
      <c r="C26" s="14" t="s">
        <v>16</v>
      </c>
      <c r="D26" s="16">
        <f t="shared" si="1"/>
        <v>6066.6666666666661</v>
      </c>
      <c r="E26" s="15">
        <f t="shared" si="0"/>
        <v>8</v>
      </c>
      <c r="F26" s="131"/>
      <c r="G26" s="63"/>
      <c r="H26" s="60"/>
      <c r="I26" s="61" t="s">
        <v>110</v>
      </c>
      <c r="J26" s="65">
        <f>J25/'Multiplicando su Negocio'!$D$28</f>
        <v>23.697916666666664</v>
      </c>
      <c r="K26" s="65">
        <f>K25/'Multiplicando su Negocio'!$D$28</f>
        <v>39.496527777777779</v>
      </c>
      <c r="L26" s="65">
        <f>L25/'Multiplicando su Negocio'!$D$28</f>
        <v>58.513374485596707</v>
      </c>
      <c r="N26" s="5">
        <f>J25*$J$22</f>
        <v>758.33333333333326</v>
      </c>
      <c r="O26" s="114"/>
      <c r="P26" s="115" t="s">
        <v>99</v>
      </c>
      <c r="Q26" s="116">
        <f>Q24*Q25</f>
        <v>7393.7500000000009</v>
      </c>
    </row>
    <row r="27" spans="3:17" x14ac:dyDescent="0.3">
      <c r="C27" s="14" t="s">
        <v>17</v>
      </c>
      <c r="D27" s="16">
        <f t="shared" si="1"/>
        <v>5308.3333333333321</v>
      </c>
      <c r="E27" s="15">
        <f t="shared" si="0"/>
        <v>7</v>
      </c>
      <c r="F27" s="131"/>
      <c r="G27" s="63"/>
      <c r="H27" s="71"/>
      <c r="I27" s="70" t="s">
        <v>111</v>
      </c>
      <c r="J27" s="72">
        <f>J28*'Multiplicando su Negocio'!$D$29</f>
        <v>1658.8541666666665</v>
      </c>
      <c r="K27" s="72">
        <f>K28*'Multiplicando su Negocio'!$D$29</f>
        <v>2764.7569444444443</v>
      </c>
      <c r="L27" s="72">
        <f>L28*'Multiplicando su Negocio'!$D$29</f>
        <v>4095.9362139917698</v>
      </c>
      <c r="N27" s="5">
        <f>J26*$J$22</f>
        <v>94.791666666666657</v>
      </c>
    </row>
    <row r="28" spans="3:17" x14ac:dyDescent="0.3">
      <c r="C28" s="14" t="s">
        <v>18</v>
      </c>
      <c r="D28" s="16">
        <f t="shared" si="1"/>
        <v>3791.6666666666656</v>
      </c>
      <c r="E28" s="15">
        <f t="shared" si="0"/>
        <v>5</v>
      </c>
      <c r="F28" s="131"/>
      <c r="G28" s="63"/>
      <c r="H28" s="71"/>
      <c r="I28" s="70" t="s">
        <v>112</v>
      </c>
      <c r="J28" s="72">
        <f>J29*'Multiplicando su Negocio'!$D$27</f>
        <v>414.71354166666663</v>
      </c>
      <c r="K28" s="72">
        <f>K29*'Multiplicando su Negocio'!$D$27</f>
        <v>691.18923611111109</v>
      </c>
      <c r="L28" s="72">
        <f>L29*'Multiplicando su Negocio'!$D$27</f>
        <v>1023.9840534979425</v>
      </c>
      <c r="N28" s="5">
        <f>(J27*$J$22)*'Multiplicando su Negocio'!$D$30</f>
        <v>15166.666666666664</v>
      </c>
    </row>
    <row r="29" spans="3:17" x14ac:dyDescent="0.3">
      <c r="C29" s="14" t="s">
        <v>19</v>
      </c>
      <c r="D29" s="16">
        <f t="shared" si="1"/>
        <v>3791.6666666666656</v>
      </c>
      <c r="E29" s="15">
        <f t="shared" si="0"/>
        <v>5</v>
      </c>
      <c r="F29" s="131"/>
      <c r="G29" s="63"/>
      <c r="H29" s="71"/>
      <c r="I29" s="70" t="s">
        <v>113</v>
      </c>
      <c r="J29" s="72">
        <f>J30*'Multiplicando su Negocio'!$D$28</f>
        <v>82.942708333333329</v>
      </c>
      <c r="K29" s="72">
        <f>K30*'Multiplicando su Negocio'!$D$28</f>
        <v>138.23784722222223</v>
      </c>
      <c r="L29" s="72">
        <f>L30*'Multiplicando su Negocio'!$D$28</f>
        <v>204.79681069958849</v>
      </c>
      <c r="N29" s="5">
        <f>(J28*$J$22)*'Multiplicando su Negocio'!$D$30</f>
        <v>3791.6666666666661</v>
      </c>
    </row>
    <row r="30" spans="3:17" x14ac:dyDescent="0.3">
      <c r="C30" s="14" t="s">
        <v>20</v>
      </c>
      <c r="D30" s="16">
        <f t="shared" si="1"/>
        <v>5308.3333333333321</v>
      </c>
      <c r="E30" s="15">
        <f t="shared" si="0"/>
        <v>7</v>
      </c>
      <c r="F30" s="131"/>
      <c r="G30" s="63"/>
      <c r="H30" s="71"/>
      <c r="I30" s="70" t="s">
        <v>114</v>
      </c>
      <c r="J30" s="72">
        <f>J26/'Multiplicando su Negocio'!$D$30</f>
        <v>10.367838541666666</v>
      </c>
      <c r="K30" s="72">
        <f>K26/'Multiplicando su Negocio'!$D$30</f>
        <v>17.279730902777779</v>
      </c>
      <c r="L30" s="72">
        <f>L26/'Multiplicando su Negocio'!$D$30</f>
        <v>25.599601337448561</v>
      </c>
      <c r="N30" s="5">
        <f>(J29*$J$22)*'Multiplicando su Negocio'!$D$30</f>
        <v>758.33333333333326</v>
      </c>
    </row>
    <row r="31" spans="3:17" x14ac:dyDescent="0.3">
      <c r="C31" s="14" t="s">
        <v>21</v>
      </c>
      <c r="D31" s="16">
        <f t="shared" si="1"/>
        <v>6066.6666666666661</v>
      </c>
      <c r="E31" s="15">
        <f t="shared" si="0"/>
        <v>8</v>
      </c>
      <c r="F31" s="131"/>
      <c r="G31" s="63"/>
      <c r="H31" s="74"/>
      <c r="I31" s="66" t="s">
        <v>142</v>
      </c>
      <c r="J31" s="73">
        <f>J26*'Multiplicando su Negocio'!$D$30</f>
        <v>54.166666666666657</v>
      </c>
      <c r="K31" s="73">
        <f>K26*'Multiplicando su Negocio'!$D$30</f>
        <v>90.277777777777771</v>
      </c>
      <c r="L31" s="73">
        <f>L26*'Multiplicando su Negocio'!$D$30</f>
        <v>133.74485596707817</v>
      </c>
      <c r="N31" s="5">
        <f>(J30*$J$22)*'Multiplicando su Negocio'!$D$30</f>
        <v>94.791666666666657</v>
      </c>
    </row>
    <row r="32" spans="3:17" x14ac:dyDescent="0.3">
      <c r="C32" s="14" t="s">
        <v>22</v>
      </c>
      <c r="D32" s="16">
        <f t="shared" si="1"/>
        <v>6824.9999999999982</v>
      </c>
      <c r="E32" s="15">
        <f t="shared" si="0"/>
        <v>9</v>
      </c>
      <c r="F32" s="131"/>
      <c r="G32" s="63"/>
      <c r="H32" s="74"/>
      <c r="I32" s="66" t="s">
        <v>115</v>
      </c>
      <c r="J32" s="75">
        <f>J31*'Multiplicando su Negocio'!$D$28</f>
        <v>433.33333333333326</v>
      </c>
      <c r="K32" s="75">
        <f>K31*'Multiplicando su Negocio'!$D$28</f>
        <v>722.22222222222217</v>
      </c>
      <c r="L32" s="75">
        <f>L31*'Multiplicando su Negocio'!$D$28</f>
        <v>1069.9588477366253</v>
      </c>
    </row>
    <row r="33" spans="3:12" x14ac:dyDescent="0.3">
      <c r="C33" s="14" t="s">
        <v>23</v>
      </c>
      <c r="D33" s="16">
        <f t="shared" si="1"/>
        <v>7583.3333333333312</v>
      </c>
      <c r="E33" s="15">
        <f t="shared" si="0"/>
        <v>10</v>
      </c>
      <c r="F33" s="131"/>
      <c r="G33" s="63"/>
      <c r="H33" s="74"/>
      <c r="I33" s="66" t="s">
        <v>133</v>
      </c>
      <c r="J33" s="75">
        <f>'Multiplicando su Negocio'!$D$16*J10</f>
        <v>3.25</v>
      </c>
      <c r="K33" s="75">
        <f>'Multiplicando su Negocio'!$D$16*K10</f>
        <v>3.75</v>
      </c>
      <c r="L33" s="75">
        <f>'Multiplicando su Negocio'!$D$16*L10</f>
        <v>4.25</v>
      </c>
    </row>
    <row r="34" spans="3:12" x14ac:dyDescent="0.3">
      <c r="C34" s="105" t="s">
        <v>24</v>
      </c>
      <c r="D34" s="106">
        <f>SUM(D22:D33)</f>
        <v>68249.999999999985</v>
      </c>
      <c r="E34" s="107">
        <f>'Presupuesto Anual Franquicias'!P10</f>
        <v>0.24999999999999994</v>
      </c>
      <c r="F34" s="109"/>
      <c r="G34" s="64"/>
      <c r="H34" s="74"/>
      <c r="I34" s="66" t="s">
        <v>134</v>
      </c>
      <c r="J34" s="75">
        <f>J32/J33</f>
        <v>133.33333333333331</v>
      </c>
      <c r="K34" s="75">
        <f t="shared" ref="K34:L34" si="2">K32/K33</f>
        <v>192.59259259259258</v>
      </c>
      <c r="L34" s="75">
        <f t="shared" si="2"/>
        <v>251.75502299685303</v>
      </c>
    </row>
  </sheetData>
  <sheetProtection algorithmName="SHA-512" hashValue="xAyXPHItOzzkfA39wXl8OCuFAXMoAUHhUGF/dT3tbgWtXNpeuC/Db238/bO0GGW9amj0MSt1FhOGXyoWnsFQAA==" saltValue="Se9PNlbcpga1Qte8zHf4FQ==" spinCount="100000" sheet="1" objects="1" scenarios="1"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2022-07-23T21:38:48Z</dcterms:created>
  <dcterms:modified xsi:type="dcterms:W3CDTF">2022-08-25T21:28:21Z</dcterms:modified>
</cp:coreProperties>
</file>