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MFC\MFC - División Franquiciantes\"/>
    </mc:Choice>
  </mc:AlternateContent>
  <xr:revisionPtr revIDLastSave="0" documentId="13_ncr:1_{18B055FF-81AA-4110-92EF-AFC4E1E523CB}" xr6:coauthVersionLast="47" xr6:coauthVersionMax="47" xr10:uidLastSave="{00000000-0000-0000-0000-000000000000}"/>
  <bookViews>
    <workbookView xWindow="-120" yWindow="-120" windowWidth="20730" windowHeight="11760" tabRatio="718" xr2:uid="{00000000-000D-0000-FFFF-FFFF00000000}"/>
  </bookViews>
  <sheets>
    <sheet name="Inicio" sheetId="4" r:id="rId1"/>
    <sheet name="Multiplicando su Negocio" sheetId="5" r:id="rId2"/>
    <sheet name="Presupuesto Anual Franquicias" sheetId="6" r:id="rId3"/>
    <sheet name="Viabilidad para Franquiciar" sheetId="1" r:id="rId4"/>
  </sheets>
  <externalReferences>
    <externalReference r:id="rId5"/>
  </externalReferences>
  <definedNames>
    <definedName name="A" localSheetId="1">Tabla36</definedName>
    <definedName name="A" localSheetId="2">Tabla36</definedName>
    <definedName name="A">Tabla36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J10" i="1" l="1"/>
  <c r="K14" i="5" l="1"/>
  <c r="L10" i="5"/>
  <c r="M7" i="5" s="1"/>
  <c r="K10" i="5"/>
  <c r="K15" i="5" s="1"/>
  <c r="J33" i="1"/>
  <c r="M9" i="5" l="1"/>
  <c r="M10" i="5"/>
  <c r="M8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7" i="1" l="1"/>
  <c r="E18" i="1"/>
  <c r="E17" i="1"/>
  <c r="E16" i="1"/>
  <c r="E15" i="1"/>
  <c r="E13" i="1"/>
  <c r="E12" i="1"/>
  <c r="E11" i="1"/>
  <c r="E8" i="1"/>
  <c r="E9" i="1"/>
  <c r="D24" i="6"/>
  <c r="D28" i="6"/>
  <c r="J26" i="5"/>
  <c r="J20" i="5"/>
  <c r="E8" i="6" s="1"/>
  <c r="E14" i="1" l="1"/>
  <c r="E10" i="1"/>
  <c r="D20" i="5"/>
  <c r="D30" i="5" l="1"/>
  <c r="D18" i="5"/>
  <c r="K20" i="5" s="1"/>
  <c r="C21" i="6" l="1"/>
  <c r="D7" i="1" s="1"/>
  <c r="C31" i="6"/>
  <c r="D17" i="1" s="1"/>
  <c r="C29" i="6"/>
  <c r="D15" i="1" s="1"/>
  <c r="C26" i="6"/>
  <c r="D12" i="1" s="1"/>
  <c r="C22" i="6"/>
  <c r="D8" i="1" s="1"/>
  <c r="C23" i="6"/>
  <c r="D9" i="1" s="1"/>
  <c r="C32" i="6"/>
  <c r="D18" i="1" s="1"/>
  <c r="C30" i="6"/>
  <c r="D16" i="1" s="1"/>
  <c r="C27" i="6"/>
  <c r="D13" i="1" s="1"/>
  <c r="C25" i="6"/>
  <c r="D11" i="1" s="1"/>
  <c r="C28" i="6"/>
  <c r="D14" i="1" s="1"/>
  <c r="C24" i="6"/>
  <c r="D10" i="1" s="1"/>
  <c r="J22" i="1"/>
  <c r="K22" i="1" s="1"/>
  <c r="L22" i="1" s="1"/>
  <c r="K21" i="5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L10" i="1" l="1"/>
  <c r="L33" i="1" s="1"/>
  <c r="K33" i="1"/>
  <c r="K26" i="5"/>
  <c r="G8" i="6"/>
  <c r="K27" i="5" l="1"/>
  <c r="K22" i="5"/>
  <c r="K23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28" i="5"/>
  <c r="L8" i="6" l="1"/>
  <c r="Q22" i="1"/>
  <c r="Q24" i="1" s="1"/>
  <c r="Q26" i="1" s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K29" i="5"/>
  <c r="K24" i="5"/>
  <c r="K30" i="5" s="1"/>
  <c r="N8" i="6" l="1"/>
  <c r="N7" i="6"/>
  <c r="K20" i="1"/>
  <c r="K19" i="1" s="1"/>
  <c r="K18" i="1" s="1"/>
  <c r="K30" i="1"/>
  <c r="K29" i="1" s="1"/>
  <c r="K28" i="1" s="1"/>
  <c r="K27" i="1" s="1"/>
  <c r="K31" i="1"/>
  <c r="L20" i="1"/>
  <c r="L19" i="1" s="1"/>
  <c r="L18" i="1" s="1"/>
  <c r="L31" i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K32" i="1"/>
  <c r="K34" i="1" s="1"/>
  <c r="L32" i="1"/>
  <c r="L34" i="1" s="1"/>
  <c r="N10" i="6"/>
  <c r="P10" i="6" s="1"/>
  <c r="E34" i="1" s="1"/>
  <c r="D19" i="1"/>
  <c r="D24" i="1" l="1"/>
  <c r="D31" i="1"/>
  <c r="D27" i="1"/>
  <c r="D23" i="1"/>
  <c r="D30" i="1"/>
  <c r="D26" i="1"/>
  <c r="D22" i="1"/>
  <c r="D33" i="1"/>
  <c r="D25" i="1"/>
  <c r="D32" i="1"/>
  <c r="D28" i="1"/>
  <c r="D29" i="1"/>
  <c r="J26" i="1"/>
  <c r="N27" i="1" s="1"/>
  <c r="L21" i="1"/>
  <c r="Q7" i="1" s="1"/>
  <c r="J21" i="1"/>
  <c r="K21" i="1"/>
  <c r="I13" i="1" l="1"/>
  <c r="B1" i="1"/>
  <c r="J31" i="1"/>
  <c r="J30" i="1"/>
  <c r="N31" i="1" s="1"/>
  <c r="Q12" i="1"/>
  <c r="J20" i="1"/>
  <c r="N19" i="1" s="1"/>
  <c r="O4" i="1"/>
  <c r="O5" i="1"/>
  <c r="N18" i="1" l="1"/>
  <c r="N17" i="1" s="1"/>
  <c r="N20" i="1"/>
  <c r="Q8" i="1"/>
  <c r="J29" i="1"/>
  <c r="N30" i="1" s="1"/>
  <c r="J19" i="1"/>
  <c r="J18" i="1" s="1"/>
  <c r="Q11" i="1"/>
  <c r="Q13" i="1" s="1"/>
  <c r="Q14" i="1" s="1"/>
  <c r="Q9" i="1"/>
  <c r="J32" i="1"/>
  <c r="J34" i="1" s="1"/>
  <c r="Q10" i="1" s="1"/>
  <c r="D34" i="1"/>
  <c r="J28" i="1" l="1"/>
  <c r="N29" i="1" s="1"/>
  <c r="P16" i="1"/>
  <c r="Q16" i="1"/>
  <c r="J27" i="1" l="1"/>
  <c r="N28" i="1" s="1"/>
</calcChain>
</file>

<file path=xl/sharedStrings.xml><?xml version="1.0" encoding="utf-8"?>
<sst xmlns="http://schemas.openxmlformats.org/spreadsheetml/2006/main" count="225" uniqueCount="149">
  <si>
    <t>BAJO</t>
  </si>
  <si>
    <t>MEDIO</t>
  </si>
  <si>
    <t>ALTO</t>
  </si>
  <si>
    <t>ganancias netas mes</t>
  </si>
  <si>
    <t>ticket promedio</t>
  </si>
  <si>
    <t>Ocupación de Mesas/Temporada</t>
  </si>
  <si>
    <t>Aumento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</si>
  <si>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</si>
  <si>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</si>
  <si>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</si>
  <si>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</si>
  <si>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</si>
  <si>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</si>
  <si>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</si>
  <si>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</si>
  <si>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</si>
  <si>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</si>
  <si>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</si>
  <si>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</si>
  <si>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</si>
  <si>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</si>
  <si>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</si>
  <si>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</si>
  <si>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</si>
  <si>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</si>
  <si>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</si>
  <si>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</si>
  <si>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Ticket Promedio</t>
  </si>
  <si>
    <t>Examinando su capacidad de atención</t>
  </si>
  <si>
    <t>¿Cuántas semanas al mes abre?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</si>
  <si>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</si>
  <si>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</si>
  <si>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</si>
  <si>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</si>
  <si>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(promedio al mes)</t>
  </si>
  <si>
    <t>(promedio a la semana)</t>
  </si>
  <si>
    <t>(promedio al día)</t>
  </si>
  <si>
    <t>(promedio por hora)</t>
  </si>
  <si>
    <t>Clientes a atender</t>
  </si>
  <si>
    <t>En promedio, ¿cuántos productos se venden por cliente?</t>
  </si>
  <si>
    <t>Días que su negocio abre a la semana</t>
  </si>
  <si>
    <t>Horas Laborales del Local por día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</si>
  <si>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</si>
  <si>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</si>
  <si>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</si>
  <si>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</si>
  <si>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</si>
  <si>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</si>
  <si>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</si>
  <si>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</si>
  <si>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</si>
  <si>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</si>
  <si>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</si>
  <si>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</si>
  <si>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</si>
  <si>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</si>
  <si>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</si>
  <si>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</si>
  <si>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</si>
  <si>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</si>
  <si>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</si>
  <si>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</si>
  <si>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</si>
  <si>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</si>
  <si>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</si>
  <si>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</si>
  <si>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</si>
  <si>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</si>
  <si>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</si>
  <si>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</si>
  <si>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</si>
  <si>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Comportamiento Potencial de Franquicia</t>
  </si>
  <si>
    <t>Cálculo promedio del precio de venta</t>
  </si>
  <si>
    <t>Precio de venta más alto</t>
  </si>
  <si>
    <t>Precio de venta más bajo</t>
  </si>
  <si>
    <t>Precio de venta medio</t>
  </si>
  <si>
    <t>Precio promedio de venta</t>
  </si>
  <si>
    <t>Ticket Promedio por Persona</t>
  </si>
  <si>
    <t>Nota: EBITDA es un resultado de ganancias antes de impuestos, amortizaciones y depreciaciones.</t>
  </si>
  <si>
    <t>Ingresos versus Ganancias por mes, anual</t>
  </si>
  <si>
    <t>Logre identificar cuánto ingresa su negocio al mes y cuánto debe ganar.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</si>
  <si>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</si>
  <si>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</si>
  <si>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</si>
  <si>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</si>
  <si>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ingresos brutos por hora (por ventas)</t>
  </si>
  <si>
    <t>Clientes por Hora:</t>
  </si>
  <si>
    <t>Productos por Hora/Cliente:</t>
  </si>
  <si>
    <t>Facturaciones por Hora:</t>
  </si>
  <si>
    <t>Ingresos por Hora:</t>
  </si>
  <si>
    <t>Ganancias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</si>
  <si>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</si>
  <si>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</si>
  <si>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</si>
  <si>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</si>
  <si>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</si>
  <si>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</si>
  <si>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</si>
  <si>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</si>
  <si>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</si>
  <si>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</si>
  <si>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</si>
  <si>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</si>
  <si>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</si>
  <si>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</si>
  <si>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</si>
  <si>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</si>
  <si>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</si>
  <si>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</si>
  <si>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</si>
  <si>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facturaciones promedio/hora</t>
  </si>
  <si>
    <t>promedio productos facturados/hora</t>
  </si>
  <si>
    <t>clientes promedio/mes</t>
  </si>
  <si>
    <t>clientes promedio/semana</t>
  </si>
  <si>
    <t>clientes promedio/día</t>
  </si>
  <si>
    <t>clientes promedio/hora</t>
  </si>
  <si>
    <t>productos promedio/día</t>
  </si>
  <si>
    <t>AUDITADO</t>
  </si>
  <si>
    <t>Visite nuestra página web</t>
  </si>
  <si>
    <t>Ventas Medias</t>
  </si>
  <si>
    <t xml:space="preserve">de las ventas (ventas por temporadas altas, medias y bajas) acorde a su giro de negocio actual. </t>
  </si>
  <si>
    <t>Conforme 1 año de ventas, elija el mes que por experiencia calificaría como el más bajo en ventas.</t>
  </si>
  <si>
    <t>¿Cuál es la Gama de sus Productos?</t>
  </si>
  <si>
    <t>Gama Económica</t>
  </si>
  <si>
    <t>Gama Media</t>
  </si>
  <si>
    <t>Gama Lujosa</t>
  </si>
  <si>
    <t>Digite el tikect promedio en los cuadros amarillos. Gracias.</t>
  </si>
  <si>
    <t>Elija por favor solamente la gama que más vende en su tienda.</t>
  </si>
  <si>
    <t>(Capacidad Instalada Total) Estantes</t>
  </si>
  <si>
    <t>¿Cuántos productos piensa usted tiene en total?</t>
  </si>
  <si>
    <t>Productos por Estantes</t>
  </si>
  <si>
    <t>En general, del 100% de productos, ¿cuántos se venden al día?</t>
  </si>
  <si>
    <t>Rotación de Estantes al día</t>
  </si>
  <si>
    <t>PRODUCTOS</t>
  </si>
  <si>
    <t>¿Cuántos productos por línea de precio?</t>
  </si>
  <si>
    <t>Identificaremos cuántos productos tiene su negocio por línea de precio estandar.</t>
  </si>
  <si>
    <t>OTROS PRODUCTOS EN NO ESTANTERIAS</t>
  </si>
  <si>
    <t>Productos a vender</t>
  </si>
  <si>
    <t>Procurar primero repetir los valores elegidos antes:</t>
  </si>
  <si>
    <t>rotación productos/estantes/temporada/día</t>
  </si>
  <si>
    <t>productividad/estante/día-productos</t>
  </si>
  <si>
    <t>Productos/Estantes:</t>
  </si>
  <si>
    <t>Solamente detallar precios de los productos más comunes de ventas, no los especiales.</t>
  </si>
  <si>
    <t>Cálculo promedio-mes de ingresos para sus Franquicias</t>
  </si>
  <si>
    <t>¿Cuánto en ingresos deben hacer sus franquicias al mes en ventas mínimas?</t>
  </si>
  <si>
    <t>4 Sencillos Datos para identificar si es VIABLE multiplicar su negocio como modelo de franquicia</t>
  </si>
  <si>
    <t>Comportamiento Financiero: una idea rápida de la Factibilidad y Rentabilidad de su Negocio para Franquiciarlo</t>
  </si>
  <si>
    <t>experiencia en las ventas de su negocio, así luego calificarlo en escala del 1 a 10 para determinar una estacionalidad</t>
  </si>
  <si>
    <t>Conforme al puntaje calificado arriba, describa por favor qué tipo de ventas es (bajas, medias o altas):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</si>
</sst>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i/>
      <sz val="14"/>
      <color theme="5" tint="-0.499984740745262"/>
      <name val="Calibri"/>
      <family val="2"/>
      <scheme val="minor"/>
    </font>
    <font>
      <sz val="18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29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wrapText="1"/>
    </xf>
    <xf numFmtId="0" fontId="16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164" fontId="0" fillId="0" borderId="5" xfId="0" applyNumberFormat="1" applyBorder="1"/>
    <xf numFmtId="164" fontId="14" fillId="0" borderId="9" xfId="0" applyNumberFormat="1" applyFont="1" applyBorder="1"/>
    <xf numFmtId="164" fontId="20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0" fillId="0" borderId="0" xfId="0" applyFont="1" applyAlignment="1">
      <alignment horizontal="right"/>
    </xf>
    <xf numFmtId="164" fontId="23" fillId="0" borderId="9" xfId="0" applyNumberFormat="1" applyFont="1" applyBorder="1"/>
    <xf numFmtId="10" fontId="22" fillId="7" borderId="0" xfId="3" applyNumberFormat="1" applyFont="1" applyFill="1"/>
    <xf numFmtId="166" fontId="0" fillId="0" borderId="0" xfId="0" applyNumberFormat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0" fillId="0" borderId="4" xfId="0" applyNumberFormat="1" applyBorder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9" fontId="2" fillId="5" borderId="0" xfId="0" applyNumberFormat="1" applyFont="1" applyFill="1" applyAlignment="1" applyProtection="1">
      <alignment horizontal="center"/>
      <protection locked="0"/>
    </xf>
    <xf numFmtId="164" fontId="0" fillId="5" borderId="0" xfId="0" applyNumberFormat="1" applyFill="1" applyProtection="1">
      <protection locked="0"/>
    </xf>
    <xf numFmtId="9" fontId="0" fillId="5" borderId="0" xfId="0" applyNumberFormat="1" applyFill="1" applyAlignment="1" applyProtection="1">
      <alignment horizontal="center"/>
      <protection locked="0"/>
    </xf>
    <xf numFmtId="9" fontId="0" fillId="5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9" fontId="0" fillId="5" borderId="10" xfId="0" applyNumberFormat="1" applyFill="1" applyBorder="1" applyAlignment="1" applyProtection="1">
      <alignment horizontal="center"/>
      <protection locked="0"/>
    </xf>
    <xf numFmtId="0" fontId="0" fillId="6" borderId="0" xfId="0" applyFill="1"/>
    <xf numFmtId="0" fontId="2" fillId="6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1" fontId="0" fillId="0" borderId="0" xfId="0" applyNumberFormat="1" applyAlignment="1">
      <alignment horizontal="left" vertical="center" textRotation="90" wrapText="1"/>
    </xf>
    <xf numFmtId="9" fontId="1" fillId="0" borderId="0" xfId="0" applyNumberFormat="1" applyFont="1" applyAlignment="1">
      <alignment horizontal="center"/>
    </xf>
    <xf numFmtId="3" fontId="2" fillId="6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9" borderId="0" xfId="0" applyFont="1" applyFill="1" applyAlignment="1">
      <alignment horizontal="right"/>
    </xf>
    <xf numFmtId="0" fontId="2" fillId="9" borderId="0" xfId="0" applyFont="1" applyFill="1"/>
    <xf numFmtId="1" fontId="2" fillId="9" borderId="0" xfId="0" applyNumberFormat="1" applyFont="1" applyFill="1" applyAlignment="1">
      <alignment horizontal="center"/>
    </xf>
    <xf numFmtId="166" fontId="2" fillId="8" borderId="0" xfId="0" applyNumberFormat="1" applyFont="1" applyFill="1" applyAlignment="1">
      <alignment horizontal="center"/>
    </xf>
    <xf numFmtId="0" fontId="2" fillId="8" borderId="0" xfId="0" applyFont="1" applyFill="1"/>
    <xf numFmtId="1" fontId="2" fillId="8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24" fillId="0" borderId="0" xfId="0" applyFont="1" applyAlignment="1">
      <alignment horizontal="right"/>
    </xf>
    <xf numFmtId="0" fontId="0" fillId="0" borderId="4" xfId="0" applyBorder="1" applyAlignment="1">
      <alignment horizontal="right" vertical="top"/>
    </xf>
    <xf numFmtId="164" fontId="0" fillId="0" borderId="0" xfId="0" applyNumberFormat="1" applyAlignment="1">
      <alignment vertical="top"/>
    </xf>
    <xf numFmtId="0" fontId="0" fillId="0" borderId="5" xfId="0" applyBorder="1" applyAlignment="1">
      <alignment horizontal="center" vertical="top"/>
    </xf>
    <xf numFmtId="0" fontId="14" fillId="10" borderId="0" xfId="0" applyFont="1" applyFill="1" applyAlignment="1">
      <alignment horizontal="right"/>
    </xf>
    <xf numFmtId="0" fontId="14" fillId="10" borderId="0" xfId="0" applyFont="1" applyFill="1" applyAlignment="1">
      <alignment horizontal="left"/>
    </xf>
    <xf numFmtId="0" fontId="13" fillId="11" borderId="0" xfId="0" applyFont="1" applyFill="1"/>
    <xf numFmtId="0" fontId="10" fillId="10" borderId="4" xfId="0" applyFont="1" applyFill="1" applyBorder="1"/>
    <xf numFmtId="0" fontId="0" fillId="10" borderId="0" xfId="0" applyFill="1"/>
    <xf numFmtId="0" fontId="0" fillId="10" borderId="5" xfId="0" applyFill="1" applyBorder="1"/>
    <xf numFmtId="0" fontId="0" fillId="10" borderId="4" xfId="0" applyFill="1" applyBorder="1"/>
    <xf numFmtId="3" fontId="15" fillId="10" borderId="0" xfId="0" applyNumberFormat="1" applyFont="1" applyFill="1" applyAlignment="1">
      <alignment horizontal="center"/>
    </xf>
    <xf numFmtId="0" fontId="0" fillId="10" borderId="6" xfId="0" applyFill="1" applyBorder="1"/>
    <xf numFmtId="0" fontId="0" fillId="10" borderId="7" xfId="0" applyFill="1" applyBorder="1"/>
    <xf numFmtId="0" fontId="14" fillId="10" borderId="7" xfId="0" applyFont="1" applyFill="1" applyBorder="1" applyAlignment="1">
      <alignment horizontal="right"/>
    </xf>
    <xf numFmtId="3" fontId="15" fillId="10" borderId="7" xfId="0" applyNumberFormat="1" applyFont="1" applyFill="1" applyBorder="1" applyAlignment="1">
      <alignment horizontal="center"/>
    </xf>
    <xf numFmtId="0" fontId="14" fillId="10" borderId="7" xfId="0" applyFont="1" applyFill="1" applyBorder="1" applyAlignment="1">
      <alignment horizontal="left"/>
    </xf>
    <xf numFmtId="0" fontId="0" fillId="10" borderId="8" xfId="0" applyFill="1" applyBorder="1"/>
    <xf numFmtId="3" fontId="26" fillId="10" borderId="0" xfId="0" applyNumberFormat="1" applyFont="1" applyFill="1" applyAlignment="1">
      <alignment horizontal="center"/>
    </xf>
    <xf numFmtId="164" fontId="26" fillId="10" borderId="0" xfId="0" applyNumberFormat="1" applyFont="1" applyFill="1"/>
    <xf numFmtId="0" fontId="27" fillId="10" borderId="0" xfId="0" applyFont="1" applyFill="1" applyAlignment="1">
      <alignment horizontal="right"/>
    </xf>
    <xf numFmtId="164" fontId="20" fillId="11" borderId="0" xfId="0" applyNumberFormat="1" applyFont="1" applyFill="1"/>
    <xf numFmtId="0" fontId="1" fillId="11" borderId="1" xfId="0" applyFont="1" applyFill="1" applyBorder="1" applyAlignment="1">
      <alignment horizontal="right"/>
    </xf>
    <xf numFmtId="164" fontId="1" fillId="11" borderId="2" xfId="0" applyNumberFormat="1" applyFont="1" applyFill="1" applyBorder="1"/>
    <xf numFmtId="9" fontId="1" fillId="11" borderId="3" xfId="0" applyNumberFormat="1" applyFont="1" applyFill="1" applyBorder="1" applyAlignment="1">
      <alignment horizontal="center"/>
    </xf>
    <xf numFmtId="164" fontId="1" fillId="11" borderId="3" xfId="0" applyNumberFormat="1" applyFont="1" applyFill="1" applyBorder="1"/>
    <xf numFmtId="0" fontId="0" fillId="12" borderId="0" xfId="0" applyFill="1"/>
    <xf numFmtId="0" fontId="17" fillId="12" borderId="0" xfId="0" applyFont="1" applyFill="1" applyAlignment="1">
      <alignment horizontal="right"/>
    </xf>
    <xf numFmtId="0" fontId="17" fillId="12" borderId="0" xfId="0" applyFont="1" applyFill="1" applyAlignment="1">
      <alignment horizontal="center"/>
    </xf>
    <xf numFmtId="0" fontId="17" fillId="12" borderId="0" xfId="0" applyFont="1" applyFill="1" applyAlignment="1">
      <alignment horizontal="left"/>
    </xf>
    <xf numFmtId="164" fontId="22" fillId="12" borderId="0" xfId="0" applyNumberFormat="1" applyFont="1" applyFill="1"/>
    <xf numFmtId="9" fontId="1" fillId="11" borderId="8" xfId="0" applyNumberFormat="1" applyFont="1" applyFill="1" applyBorder="1" applyAlignment="1">
      <alignment horizontal="center"/>
    </xf>
    <xf numFmtId="0" fontId="21" fillId="11" borderId="11" xfId="0" applyFont="1" applyFill="1" applyBorder="1"/>
    <xf numFmtId="0" fontId="1" fillId="11" borderId="12" xfId="0" applyFont="1" applyFill="1" applyBorder="1" applyAlignment="1">
      <alignment horizontal="right"/>
    </xf>
    <xf numFmtId="0" fontId="21" fillId="11" borderId="4" xfId="0" applyFont="1" applyFill="1" applyBorder="1"/>
    <xf numFmtId="0" fontId="1" fillId="11" borderId="0" xfId="0" applyFont="1" applyFill="1" applyAlignment="1">
      <alignment horizontal="right"/>
    </xf>
    <xf numFmtId="0" fontId="21" fillId="11" borderId="6" xfId="0" applyFont="1" applyFill="1" applyBorder="1"/>
    <xf numFmtId="0" fontId="1" fillId="11" borderId="7" xfId="0" applyFont="1" applyFill="1" applyBorder="1" applyAlignment="1">
      <alignment horizontal="right"/>
    </xf>
    <xf numFmtId="10" fontId="1" fillId="11" borderId="8" xfId="3" applyNumberFormat="1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164" fontId="1" fillId="11" borderId="8" xfId="0" applyNumberFormat="1" applyFont="1" applyFill="1" applyBorder="1"/>
    <xf numFmtId="0" fontId="28" fillId="0" borderId="0" xfId="0" applyFont="1" applyAlignment="1">
      <alignment vertical="center"/>
    </xf>
    <xf numFmtId="0" fontId="13" fillId="11" borderId="1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3" fillId="11" borderId="0" xfId="0" applyFont="1" applyFill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25" fillId="12" borderId="0" xfId="0" applyFont="1" applyFill="1" applyAlignment="1">
      <alignment horizontal="center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6" fillId="0" borderId="0" xfId="0" applyFont="1"/>
    <xf numFmtId="0" fontId="8" fillId="11" borderId="11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7.png"/><Relationship Id="rId3" Type="http://schemas.openxmlformats.org/officeDocument/2006/relationships/hyperlink" Target="#'Multiplicando su Negocio'!A1"/><Relationship Id="rId7" Type="http://schemas.openxmlformats.org/officeDocument/2006/relationships/hyperlink" Target="https://www.mfcyourfranchise.com/" TargetMode="External"/><Relationship Id="rId12" Type="http://schemas.openxmlformats.org/officeDocument/2006/relationships/hyperlink" Target="https://www.wrcapital.pro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bdseniorpartners.com/" TargetMode="External"/><Relationship Id="rId6" Type="http://schemas.openxmlformats.org/officeDocument/2006/relationships/image" Target="../media/image4.png"/><Relationship Id="rId11" Type="http://schemas.openxmlformats.org/officeDocument/2006/relationships/hyperlink" Target="https://www.franquiciashubs.com/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openxmlformats.org/officeDocument/2006/relationships/image" Target="../media/image2.png"/><Relationship Id="rId9" Type="http://schemas.openxmlformats.org/officeDocument/2006/relationships/hyperlink" Target="https://www.winprojects.pro/" TargetMode="External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hyperlink" Target="#'Presupuesto Anual Franquicias'!A1"/><Relationship Id="rId7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Relationship Id="rId6" Type="http://schemas.openxmlformats.org/officeDocument/2006/relationships/image" Target="../media/image11.jpeg"/><Relationship Id="rId5" Type="http://schemas.openxmlformats.org/officeDocument/2006/relationships/hyperlink" Target="#Inicio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ultiplicando su Negocio'!A1"/><Relationship Id="rId2" Type="http://schemas.openxmlformats.org/officeDocument/2006/relationships/image" Target="../media/image14.png"/><Relationship Id="rId1" Type="http://schemas.openxmlformats.org/officeDocument/2006/relationships/hyperlink" Target="#'Viabilidad para Franquiciar'!A1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hyperlink" Target="#'Presupuesto Anual Franquici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403860</xdr:colOff>
      <xdr:row>24</xdr:row>
      <xdr:rowOff>0</xdr:rowOff>
    </xdr:from>
    <xdr:to>
      <xdr:col>8</xdr:col>
      <xdr:colOff>304800</xdr:colOff>
      <xdr:row>28</xdr:row>
      <xdr:rowOff>129540</xdr:rowOff>
    </xdr:to>
    <xdr:pic>
      <xdr:nvPicPr>
        <xdr:cNvPr id="4" name="Imagen 3">
          <a:hlinkClick xmlns:r="http://schemas.openxmlformats.org/officeDocument/2006/relationships" r:id="rId1" tooltip="Dirección Jurídica Franquicias para USA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3886200" y="4465321"/>
          <a:ext cx="3070860" cy="861060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</xdr:row>
      <xdr:rowOff>160020</xdr:rowOff>
    </xdr:from>
    <xdr:to>
      <xdr:col>14</xdr:col>
      <xdr:colOff>99060</xdr:colOff>
      <xdr:row>14</xdr:row>
      <xdr:rowOff>30480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980" y="342900"/>
          <a:ext cx="633222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1</xdr:col>
      <xdr:colOff>594360</xdr:colOff>
      <xdr:row>17</xdr:row>
      <xdr:rowOff>22860</xdr:rowOff>
    </xdr:from>
    <xdr:to>
      <xdr:col>15</xdr:col>
      <xdr:colOff>502920</xdr:colOff>
      <xdr:row>19</xdr:row>
      <xdr:rowOff>83820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60120" y="3131820"/>
          <a:ext cx="114452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RADIOGRAFIA DE FRANQUICIABILIDAD PARA NEGOCIOS DE TIENDAS Y COMERCIO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16</xdr:col>
      <xdr:colOff>45721</xdr:colOff>
      <xdr:row>13</xdr:row>
      <xdr:rowOff>99060</xdr:rowOff>
    </xdr:from>
    <xdr:to>
      <xdr:col>16</xdr:col>
      <xdr:colOff>496295</xdr:colOff>
      <xdr:row>15</xdr:row>
      <xdr:rowOff>177605</xdr:rowOff>
    </xdr:to>
    <xdr:pic>
      <xdr:nvPicPr>
        <xdr:cNvPr id="10" name="Imagen 9">
          <a:hlinkClick xmlns:r="http://schemas.openxmlformats.org/officeDocument/2006/relationships" r:id="rId3" tooltip="Conozca cuál debe ser la dinámica de su negocio franquiciado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7821" y="2476500"/>
          <a:ext cx="450574" cy="44430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110784</xdr:rowOff>
    </xdr:from>
    <xdr:to>
      <xdr:col>16</xdr:col>
      <xdr:colOff>88147</xdr:colOff>
      <xdr:row>16</xdr:row>
      <xdr:rowOff>93200</xdr:rowOff>
    </xdr:to>
    <xdr:sp macro="" textlink="">
      <xdr:nvSpPr>
        <xdr:cNvPr id="11" name="CuadroTexto 10">
          <a:hlinkClick xmlns:r="http://schemas.openxmlformats.org/officeDocument/2006/relationships" r:id="rId3" tooltip="Conozca cuál debe ser la dinámica de su negocio franquiciado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199620" y="2488224"/>
          <a:ext cx="880627" cy="531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 página</a:t>
          </a:r>
        </a:p>
      </xdr:txBody>
    </xdr:sp>
    <xdr:clientData/>
  </xdr:twoCellAnchor>
  <xdr:twoCellAnchor editAs="oneCell">
    <xdr:from>
      <xdr:col>4</xdr:col>
      <xdr:colOff>617220</xdr:colOff>
      <xdr:row>29</xdr:row>
      <xdr:rowOff>45720</xdr:rowOff>
    </xdr:from>
    <xdr:to>
      <xdr:col>5</xdr:col>
      <xdr:colOff>762000</xdr:colOff>
      <xdr:row>31</xdr:row>
      <xdr:rowOff>144197</xdr:rowOff>
    </xdr:to>
    <xdr:pic>
      <xdr:nvPicPr>
        <xdr:cNvPr id="14" name="Imagen 13" descr="Vector Transparente PNG Y SVG De Trazo De Icono De Sitio Web Ww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4099560" y="55321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571500</xdr:colOff>
      <xdr:row>1</xdr:row>
      <xdr:rowOff>83820</xdr:rowOff>
    </xdr:from>
    <xdr:to>
      <xdr:col>16</xdr:col>
      <xdr:colOff>411480</xdr:colOff>
      <xdr:row>13</xdr:row>
      <xdr:rowOff>106680</xdr:rowOff>
    </xdr:to>
    <xdr:pic>
      <xdr:nvPicPr>
        <xdr:cNvPr id="16" name="Imagen 15" descr="Producto - Iconos gratis de mod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6160" y="266700"/>
          <a:ext cx="2217420" cy="2217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19</xdr:row>
      <xdr:rowOff>0</xdr:rowOff>
    </xdr:from>
    <xdr:to>
      <xdr:col>17</xdr:col>
      <xdr:colOff>243840</xdr:colOff>
      <xdr:row>22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858DFA90-08DE-4812-A3FA-B677AE0C09AF}"/>
            </a:ext>
          </a:extLst>
        </xdr:cNvPr>
        <xdr:cNvSpPr txBox="1"/>
      </xdr:nvSpPr>
      <xdr:spPr>
        <a:xfrm>
          <a:off x="480060" y="3474720"/>
          <a:ext cx="13548360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Cada hoja es un ejemplo del resultado de una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 tienda</a:t>
          </a:r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franquiciable. Sustituye por favor cada espacio en amarillo con los datos reales de tu negocio para que apliques correctamente tu Radiografía de Franquiciabilidad. Tiempo estimado: 20 minutos.</a:t>
          </a:r>
          <a:endParaRPr lang="es-NI" sz="1800" b="1">
            <a:solidFill>
              <a:srgbClr val="7030A0"/>
            </a:solidFill>
          </a:endParaRPr>
        </a:p>
      </xdr:txBody>
    </xdr:sp>
    <xdr:clientData/>
  </xdr:twoCellAnchor>
  <xdr:twoCellAnchor>
    <xdr:from>
      <xdr:col>1</xdr:col>
      <xdr:colOff>182880</xdr:colOff>
      <xdr:row>11</xdr:row>
      <xdr:rowOff>129540</xdr:rowOff>
    </xdr:from>
    <xdr:to>
      <xdr:col>4</xdr:col>
      <xdr:colOff>662940</xdr:colOff>
      <xdr:row>14</xdr:row>
      <xdr:rowOff>60960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C04E986-6CED-4152-8BDE-BBDDCF4E259A}"/>
            </a:ext>
          </a:extLst>
        </xdr:cNvPr>
        <xdr:cNvSpPr txBox="1"/>
      </xdr:nvSpPr>
      <xdr:spPr>
        <a:xfrm>
          <a:off x="548640" y="2141220"/>
          <a:ext cx="32385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México, California y Florida, EE.UU.: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Escuela de Franquicias y Apertura en EE.UU.</a:t>
          </a:r>
        </a:p>
      </xdr:txBody>
    </xdr:sp>
    <xdr:clientData/>
  </xdr:twoCellAnchor>
  <xdr:twoCellAnchor>
    <xdr:from>
      <xdr:col>0</xdr:col>
      <xdr:colOff>320040</xdr:colOff>
      <xdr:row>31</xdr:row>
      <xdr:rowOff>167640</xdr:rowOff>
    </xdr:from>
    <xdr:to>
      <xdr:col>4</xdr:col>
      <xdr:colOff>121920</xdr:colOff>
      <xdr:row>34</xdr:row>
      <xdr:rowOff>99060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D3F8108A-DDE3-4E4E-91B2-266930CEA743}"/>
            </a:ext>
          </a:extLst>
        </xdr:cNvPr>
        <xdr:cNvSpPr txBox="1"/>
      </xdr:nvSpPr>
      <xdr:spPr>
        <a:xfrm>
          <a:off x="32004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Firma experta en Negocios: 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 Franquiciantes y Franquicias</a:t>
          </a:r>
        </a:p>
      </xdr:txBody>
    </xdr:sp>
    <xdr:clientData/>
  </xdr:twoCellAnchor>
  <xdr:twoCellAnchor>
    <xdr:from>
      <xdr:col>4</xdr:col>
      <xdr:colOff>335280</xdr:colOff>
      <xdr:row>31</xdr:row>
      <xdr:rowOff>167640</xdr:rowOff>
    </xdr:from>
    <xdr:to>
      <xdr:col>8</xdr:col>
      <xdr:colOff>449580</xdr:colOff>
      <xdr:row>34</xdr:row>
      <xdr:rowOff>99060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6AAAA84F-B482-4D14-AFE0-A5114F617AA2}"/>
            </a:ext>
          </a:extLst>
        </xdr:cNvPr>
        <xdr:cNvSpPr txBox="1"/>
      </xdr:nvSpPr>
      <xdr:spPr>
        <a:xfrm>
          <a:off x="381762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Estados Unidos, California, Orange: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Firma que dinamiza Inversiones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30480</xdr:colOff>
      <xdr:row>31</xdr:row>
      <xdr:rowOff>167640</xdr:rowOff>
    </xdr:from>
    <xdr:to>
      <xdr:col>13</xdr:col>
      <xdr:colOff>289560</xdr:colOff>
      <xdr:row>34</xdr:row>
      <xdr:rowOff>99060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E84D9A1D-DC06-4D87-A4C9-A7250BBE85E4}"/>
            </a:ext>
          </a:extLst>
        </xdr:cNvPr>
        <xdr:cNvSpPr txBox="1"/>
      </xdr:nvSpPr>
      <xdr:spPr>
        <a:xfrm>
          <a:off x="7475220" y="5836920"/>
          <a:ext cx="34290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Costa Rica, Centroamérica y México: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Comercialización de Franquicias</a:t>
          </a:r>
        </a:p>
      </xdr:txBody>
    </xdr:sp>
    <xdr:clientData/>
  </xdr:twoCellAnchor>
  <xdr:twoCellAnchor>
    <xdr:from>
      <xdr:col>13</xdr:col>
      <xdr:colOff>205740</xdr:colOff>
      <xdr:row>31</xdr:row>
      <xdr:rowOff>167640</xdr:rowOff>
    </xdr:from>
    <xdr:to>
      <xdr:col>17</xdr:col>
      <xdr:colOff>320040</xdr:colOff>
      <xdr:row>34</xdr:row>
      <xdr:rowOff>99060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0F177FE-CDC1-4FD9-B976-BEFEA0F97F7F}"/>
            </a:ext>
          </a:extLst>
        </xdr:cNvPr>
        <xdr:cNvSpPr txBox="1"/>
      </xdr:nvSpPr>
      <xdr:spPr>
        <a:xfrm>
          <a:off x="1082040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Coach Inversiones en Franquicias: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Creación de Patrimonio para Inversores</a:t>
          </a:r>
        </a:p>
      </xdr:txBody>
    </xdr:sp>
    <xdr:clientData/>
  </xdr:twoCellAnchor>
  <xdr:twoCellAnchor editAs="oneCell">
    <xdr:from>
      <xdr:col>1</xdr:col>
      <xdr:colOff>304467</xdr:colOff>
      <xdr:row>0</xdr:row>
      <xdr:rowOff>134472</xdr:rowOff>
    </xdr:from>
    <xdr:to>
      <xdr:col>4</xdr:col>
      <xdr:colOff>522907</xdr:colOff>
      <xdr:row>9</xdr:row>
      <xdr:rowOff>56367</xdr:rowOff>
    </xdr:to>
    <xdr:pic>
      <xdr:nvPicPr>
        <xdr:cNvPr id="5" name="Imagen 4">
          <a:hlinkClick xmlns:r="http://schemas.openxmlformats.org/officeDocument/2006/relationships" r:id="rId7" tooltip="Dirección General de Franquicias"/>
          <a:extLst>
            <a:ext uri="{FF2B5EF4-FFF2-40B4-BE49-F238E27FC236}">
              <a16:creationId xmlns:a16="http://schemas.microsoft.com/office/drawing/2014/main" id="{9C0AE6FB-A8F9-4580-910B-DF008B94E8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651849" y="134472"/>
          <a:ext cx="2885440" cy="1602777"/>
        </a:xfrm>
        <a:prstGeom prst="rect">
          <a:avLst/>
        </a:prstGeom>
      </xdr:spPr>
    </xdr:pic>
    <xdr:clientData/>
  </xdr:twoCellAnchor>
  <xdr:twoCellAnchor editAs="oneCell">
    <xdr:from>
      <xdr:col>0</xdr:col>
      <xdr:colOff>308277</xdr:colOff>
      <xdr:row>23</xdr:row>
      <xdr:rowOff>180192</xdr:rowOff>
    </xdr:from>
    <xdr:to>
      <xdr:col>3</xdr:col>
      <xdr:colOff>944702</xdr:colOff>
      <xdr:row>29</xdr:row>
      <xdr:rowOff>88752</xdr:rowOff>
    </xdr:to>
    <xdr:pic>
      <xdr:nvPicPr>
        <xdr:cNvPr id="6" name="Imagen 5">
          <a:hlinkClick xmlns:r="http://schemas.openxmlformats.org/officeDocument/2006/relationships" r:id="rId9" tooltip="Crea Franquicias"/>
          <a:extLst>
            <a:ext uri="{FF2B5EF4-FFF2-40B4-BE49-F238E27FC236}">
              <a16:creationId xmlns:a16="http://schemas.microsoft.com/office/drawing/2014/main" id="{32F66B79-D7B7-4C5D-850C-EE476C6398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308277" y="4528074"/>
          <a:ext cx="2507807" cy="1051560"/>
        </a:xfrm>
        <a:prstGeom prst="rect">
          <a:avLst/>
        </a:prstGeom>
      </xdr:spPr>
    </xdr:pic>
    <xdr:clientData/>
  </xdr:twoCellAnchor>
  <xdr:twoCellAnchor editAs="oneCell">
    <xdr:from>
      <xdr:col>1</xdr:col>
      <xdr:colOff>479727</xdr:colOff>
      <xdr:row>9</xdr:row>
      <xdr:rowOff>65892</xdr:rowOff>
    </xdr:from>
    <xdr:to>
      <xdr:col>2</xdr:col>
      <xdr:colOff>620697</xdr:colOff>
      <xdr:row>11</xdr:row>
      <xdr:rowOff>173894</xdr:rowOff>
    </xdr:to>
    <xdr:pic>
      <xdr:nvPicPr>
        <xdr:cNvPr id="25" name="Imagen 24" descr="Vector Transparente PNG Y SVG De Trazo De Icono De Sitio Web Www">
          <a:hlinkClick xmlns:r="http://schemas.openxmlformats.org/officeDocument/2006/relationships" r:id="rId7" tooltip="Comercialización Franquicias"/>
          <a:extLst>
            <a:ext uri="{FF2B5EF4-FFF2-40B4-BE49-F238E27FC236}">
              <a16:creationId xmlns:a16="http://schemas.microsoft.com/office/drawing/2014/main" id="{D201745E-E06E-4AE1-9D93-DD7446C92F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827109" y="1746774"/>
          <a:ext cx="902970" cy="48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112060</xdr:colOff>
      <xdr:row>29</xdr:row>
      <xdr:rowOff>58272</xdr:rowOff>
    </xdr:from>
    <xdr:to>
      <xdr:col>1</xdr:col>
      <xdr:colOff>670225</xdr:colOff>
      <xdr:row>31</xdr:row>
      <xdr:rowOff>162464</xdr:rowOff>
    </xdr:to>
    <xdr:pic>
      <xdr:nvPicPr>
        <xdr:cNvPr id="26" name="Imagen 25" descr="Vector Transparente PNG Y SVG De Trazo De Icono De Sitio Web Www">
          <a:hlinkClick xmlns:r="http://schemas.openxmlformats.org/officeDocument/2006/relationships" r:id="rId9" tooltip="Crea Franquicias"/>
          <a:extLst>
            <a:ext uri="{FF2B5EF4-FFF2-40B4-BE49-F238E27FC236}">
              <a16:creationId xmlns:a16="http://schemas.microsoft.com/office/drawing/2014/main" id="{77D39D27-40C1-4195-B081-E5000FA2AE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12060" y="5549154"/>
          <a:ext cx="905547" cy="485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571167</xdr:colOff>
      <xdr:row>29</xdr:row>
      <xdr:rowOff>58272</xdr:rowOff>
    </xdr:from>
    <xdr:to>
      <xdr:col>10</xdr:col>
      <xdr:colOff>712137</xdr:colOff>
      <xdr:row>31</xdr:row>
      <xdr:rowOff>162464</xdr:rowOff>
    </xdr:to>
    <xdr:pic>
      <xdr:nvPicPr>
        <xdr:cNvPr id="27" name="Imagen 26" descr="Vector Transparente PNG Y SVG De Trazo De Icono De Sitio Web Www">
          <a:hlinkClick xmlns:r="http://schemas.openxmlformats.org/officeDocument/2006/relationships" r:id="rId11" tooltip="Comercialización de Franquicias"/>
          <a:extLst>
            <a:ext uri="{FF2B5EF4-FFF2-40B4-BE49-F238E27FC236}">
              <a16:creationId xmlns:a16="http://schemas.microsoft.com/office/drawing/2014/main" id="{ECDBD59E-9548-465D-9C2D-E2730EFFE2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7249873" y="5549154"/>
          <a:ext cx="902970" cy="485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571167</xdr:colOff>
      <xdr:row>29</xdr:row>
      <xdr:rowOff>50652</xdr:rowOff>
    </xdr:from>
    <xdr:to>
      <xdr:col>14</xdr:col>
      <xdr:colOff>712137</xdr:colOff>
      <xdr:row>31</xdr:row>
      <xdr:rowOff>149129</xdr:rowOff>
    </xdr:to>
    <xdr:pic>
      <xdr:nvPicPr>
        <xdr:cNvPr id="28" name="Imagen 27" descr="Vector Transparente PNG Y SVG De Trazo De Icono De Sitio Web Www">
          <a:hlinkClick xmlns:r="http://schemas.openxmlformats.org/officeDocument/2006/relationships" r:id="rId12" tooltip="Coach Inversiones"/>
          <a:extLst>
            <a:ext uri="{FF2B5EF4-FFF2-40B4-BE49-F238E27FC236}">
              <a16:creationId xmlns:a16="http://schemas.microsoft.com/office/drawing/2014/main" id="{95B24C0F-26FF-4DB2-9619-FA47BA32B1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0521991" y="5541534"/>
          <a:ext cx="902970" cy="479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512793</xdr:colOff>
      <xdr:row>25</xdr:row>
      <xdr:rowOff>3026</xdr:rowOff>
    </xdr:from>
    <xdr:to>
      <xdr:col>12</xdr:col>
      <xdr:colOff>928616</xdr:colOff>
      <xdr:row>28</xdr:row>
      <xdr:rowOff>174477</xdr:rowOff>
    </xdr:to>
    <xdr:pic>
      <xdr:nvPicPr>
        <xdr:cNvPr id="29" name="Imagen 28">
          <a:hlinkClick xmlns:r="http://schemas.openxmlformats.org/officeDocument/2006/relationships" r:id="rId11" tooltip="Comercialización de Franquicias"/>
          <a:extLst>
            <a:ext uri="{FF2B5EF4-FFF2-40B4-BE49-F238E27FC236}">
              <a16:creationId xmlns:a16="http://schemas.microsoft.com/office/drawing/2014/main" id="{9164A7B9-8D6E-4856-B3B5-FE5A773589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10" b="22219"/>
        <a:stretch/>
      </xdr:blipFill>
      <xdr:spPr>
        <a:xfrm>
          <a:off x="7191499" y="4731908"/>
          <a:ext cx="2701823" cy="742951"/>
        </a:xfrm>
        <a:prstGeom prst="rect">
          <a:avLst/>
        </a:prstGeom>
      </xdr:spPr>
    </xdr:pic>
    <xdr:clientData/>
  </xdr:twoCellAnchor>
  <xdr:twoCellAnchor editAs="oneCell">
    <xdr:from>
      <xdr:col>14</xdr:col>
      <xdr:colOff>87297</xdr:colOff>
      <xdr:row>24</xdr:row>
      <xdr:rowOff>84837</xdr:rowOff>
    </xdr:from>
    <xdr:to>
      <xdr:col>16</xdr:col>
      <xdr:colOff>445683</xdr:colOff>
      <xdr:row>29</xdr:row>
      <xdr:rowOff>77011</xdr:rowOff>
    </xdr:to>
    <xdr:pic>
      <xdr:nvPicPr>
        <xdr:cNvPr id="30" name="Imagen 2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AA9D154-BE5F-480A-A08D-F0C810D37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0121" y="4623219"/>
          <a:ext cx="1882386" cy="944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678181</xdr:colOff>
      <xdr:row>2</xdr:row>
      <xdr:rowOff>259080</xdr:rowOff>
    </xdr:from>
    <xdr:to>
      <xdr:col>6</xdr:col>
      <xdr:colOff>710596</xdr:colOff>
      <xdr:row>11</xdr:row>
      <xdr:rowOff>245520</xdr:rowOff>
    </xdr:to>
    <xdr:pic>
      <xdr:nvPicPr>
        <xdr:cNvPr id="6" name="Imagen 5" descr="Icono de pago de factura de recibo de transacción en papel | Vector Premium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22</xdr:row>
      <xdr:rowOff>99060</xdr:rowOff>
    </xdr:from>
    <xdr:to>
      <xdr:col>5</xdr:col>
      <xdr:colOff>1318260</xdr:colOff>
      <xdr:row>29</xdr:row>
      <xdr:rowOff>53340</xdr:rowOff>
    </xdr:to>
    <xdr:pic>
      <xdr:nvPicPr>
        <xdr:cNvPr id="4" name="Imagen 3" descr="Íconos de hora en SVG, PNG, AI para descarga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8006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754381</xdr:colOff>
      <xdr:row>16</xdr:row>
      <xdr:rowOff>76200</xdr:rowOff>
    </xdr:from>
    <xdr:to>
      <xdr:col>14</xdr:col>
      <xdr:colOff>412475</xdr:colOff>
      <xdr:row>18</xdr:row>
      <xdr:rowOff>70925</xdr:rowOff>
    </xdr:to>
    <xdr:pic>
      <xdr:nvPicPr>
        <xdr:cNvPr id="9" name="Imagen 8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201" y="348234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708660</xdr:colOff>
      <xdr:row>16</xdr:row>
      <xdr:rowOff>87924</xdr:rowOff>
    </xdr:from>
    <xdr:to>
      <xdr:col>14</xdr:col>
      <xdr:colOff>4327</xdr:colOff>
      <xdr:row>18</xdr:row>
      <xdr:rowOff>76200</xdr:rowOff>
    </xdr:to>
    <xdr:sp macro="" textlink="">
      <xdr:nvSpPr>
        <xdr:cNvPr id="10" name="CuadroTexto 9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2954000" y="349406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 Sigueinte</a:t>
          </a:r>
        </a:p>
      </xdr:txBody>
    </xdr:sp>
    <xdr:clientData/>
  </xdr:twoCellAnchor>
  <xdr:twoCellAnchor>
    <xdr:from>
      <xdr:col>13</xdr:col>
      <xdr:colOff>754381</xdr:colOff>
      <xdr:row>18</xdr:row>
      <xdr:rowOff>91440</xdr:rowOff>
    </xdr:from>
    <xdr:to>
      <xdr:col>14</xdr:col>
      <xdr:colOff>412475</xdr:colOff>
      <xdr:row>20</xdr:row>
      <xdr:rowOff>86165</xdr:rowOff>
    </xdr:to>
    <xdr:pic>
      <xdr:nvPicPr>
        <xdr:cNvPr id="12" name="Imagen 11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92201" y="394716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708660</xdr:colOff>
      <xdr:row>18</xdr:row>
      <xdr:rowOff>103164</xdr:rowOff>
    </xdr:from>
    <xdr:to>
      <xdr:col>14</xdr:col>
      <xdr:colOff>4327</xdr:colOff>
      <xdr:row>20</xdr:row>
      <xdr:rowOff>83820</xdr:rowOff>
    </xdr:to>
    <xdr:sp macro="" textlink="">
      <xdr:nvSpPr>
        <xdr:cNvPr id="13" name="CuadroTexto 12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2954000" y="3958884"/>
          <a:ext cx="880627" cy="430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10</xdr:row>
      <xdr:rowOff>76200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98720" y="1013460"/>
          <a:ext cx="1264920" cy="134874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426720</xdr:colOff>
      <xdr:row>6</xdr:row>
      <xdr:rowOff>15240</xdr:rowOff>
    </xdr:from>
    <xdr:to>
      <xdr:col>2</xdr:col>
      <xdr:colOff>723900</xdr:colOff>
      <xdr:row>10</xdr:row>
      <xdr:rowOff>68580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26720" y="1508760"/>
          <a:ext cx="2286000" cy="8458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mide la cantidad de pedidos y pagado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10</xdr:row>
      <xdr:rowOff>114300</xdr:rowOff>
    </xdr:from>
    <xdr:to>
      <xdr:col>13</xdr:col>
      <xdr:colOff>685800</xdr:colOff>
      <xdr:row>14</xdr:row>
      <xdr:rowOff>53340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574780" y="2255520"/>
          <a:ext cx="2148840" cy="8382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un cliente comprar fijo de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tu negocio, al visitarlo.</a:t>
          </a:r>
          <a:endParaRPr lang="es-NI" sz="1100"/>
        </a:p>
      </xdr:txBody>
    </xdr:sp>
    <xdr:clientData/>
  </xdr:twoCellAnchor>
  <xdr:twoCellAnchor editAs="oneCell">
    <xdr:from>
      <xdr:col>5</xdr:col>
      <xdr:colOff>15240</xdr:colOff>
      <xdr:row>10</xdr:row>
      <xdr:rowOff>175260</xdr:rowOff>
    </xdr:from>
    <xdr:to>
      <xdr:col>6</xdr:col>
      <xdr:colOff>670560</xdr:colOff>
      <xdr:row>23</xdr:row>
      <xdr:rowOff>0</xdr:rowOff>
    </xdr:to>
    <xdr:pic>
      <xdr:nvPicPr>
        <xdr:cNvPr id="18" name="Imagen 17" descr="Hombre de compras con estante de cesta y diseño de vectores de productos  1830393 Vector en Vecteezy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2461260"/>
          <a:ext cx="2651760" cy="265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1546860</xdr:colOff>
      <xdr:row>22</xdr:row>
      <xdr:rowOff>76200</xdr:rowOff>
    </xdr:from>
    <xdr:to>
      <xdr:col>6</xdr:col>
      <xdr:colOff>739140</xdr:colOff>
      <xdr:row>27</xdr:row>
      <xdr:rowOff>83820</xdr:rowOff>
    </xdr:to>
    <xdr:pic>
      <xdr:nvPicPr>
        <xdr:cNvPr id="21" name="Imagen 20" descr="Packaging y etiquetado de envases para productos - PMH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5120" y="4777740"/>
          <a:ext cx="1188720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822960</xdr:colOff>
      <xdr:row>24</xdr:row>
      <xdr:rowOff>129540</xdr:rowOff>
    </xdr:from>
    <xdr:to>
      <xdr:col>6</xdr:col>
      <xdr:colOff>259080</xdr:colOff>
      <xdr:row>31</xdr:row>
      <xdr:rowOff>137160</xdr:rowOff>
    </xdr:to>
    <xdr:pic>
      <xdr:nvPicPr>
        <xdr:cNvPr id="20" name="Imagen 19" descr="PNG y SVG de producto con fondo transparente para descargar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1220" y="536448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15</xdr:row>
      <xdr:rowOff>91440</xdr:rowOff>
    </xdr:from>
    <xdr:to>
      <xdr:col>5</xdr:col>
      <xdr:colOff>3063240</xdr:colOff>
      <xdr:row>15</xdr:row>
      <xdr:rowOff>91440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446520" y="32385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2674620</xdr:colOff>
      <xdr:row>16</xdr:row>
      <xdr:rowOff>99060</xdr:rowOff>
    </xdr:from>
    <xdr:to>
      <xdr:col>5</xdr:col>
      <xdr:colOff>3070860</xdr:colOff>
      <xdr:row>16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454140" y="34290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2887980</xdr:colOff>
      <xdr:row>17</xdr:row>
      <xdr:rowOff>114300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667500" y="3627120"/>
          <a:ext cx="929640" cy="327660"/>
        </a:xfrm>
        <a:prstGeom prst="bentConnector3">
          <a:avLst>
            <a:gd name="adj1" fmla="val 10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937261</xdr:colOff>
      <xdr:row>30</xdr:row>
      <xdr:rowOff>76200</xdr:rowOff>
    </xdr:from>
    <xdr:to>
      <xdr:col>5</xdr:col>
      <xdr:colOff>1387835</xdr:colOff>
      <xdr:row>32</xdr:row>
      <xdr:rowOff>154745</xdr:rowOff>
    </xdr:to>
    <xdr:pic>
      <xdr:nvPicPr>
        <xdr:cNvPr id="7" name="Imagen 6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61" y="622554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99060</xdr:colOff>
      <xdr:row>30</xdr:row>
      <xdr:rowOff>87924</xdr:rowOff>
    </xdr:from>
    <xdr:to>
      <xdr:col>5</xdr:col>
      <xdr:colOff>979687</xdr:colOff>
      <xdr:row>32</xdr:row>
      <xdr:rowOff>152400</xdr:rowOff>
    </xdr:to>
    <xdr:sp macro="" textlink="">
      <xdr:nvSpPr>
        <xdr:cNvPr id="10" name="CuadroTexto 9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80460" y="6237264"/>
          <a:ext cx="880627" cy="430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</a:t>
          </a:r>
        </a:p>
      </xdr:txBody>
    </xdr:sp>
    <xdr:clientData/>
  </xdr:twoCellAnchor>
  <xdr:twoCellAnchor>
    <xdr:from>
      <xdr:col>5</xdr:col>
      <xdr:colOff>922021</xdr:colOff>
      <xdr:row>27</xdr:row>
      <xdr:rowOff>99060</xdr:rowOff>
    </xdr:from>
    <xdr:to>
      <xdr:col>5</xdr:col>
      <xdr:colOff>1372595</xdr:colOff>
      <xdr:row>29</xdr:row>
      <xdr:rowOff>177605</xdr:rowOff>
    </xdr:to>
    <xdr:pic>
      <xdr:nvPicPr>
        <xdr:cNvPr id="13" name="Imagen 12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03421" y="569976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83820</xdr:colOff>
      <xdr:row>27</xdr:row>
      <xdr:rowOff>110784</xdr:rowOff>
    </xdr:from>
    <xdr:to>
      <xdr:col>5</xdr:col>
      <xdr:colOff>964447</xdr:colOff>
      <xdr:row>30</xdr:row>
      <xdr:rowOff>0</xdr:rowOff>
    </xdr:to>
    <xdr:sp macro="" textlink="">
      <xdr:nvSpPr>
        <xdr:cNvPr id="15" name="CuadroTexto 14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665220" y="571148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838201</xdr:colOff>
      <xdr:row>29</xdr:row>
      <xdr:rowOff>0</xdr:rowOff>
    </xdr:from>
    <xdr:to>
      <xdr:col>15</xdr:col>
      <xdr:colOff>343895</xdr:colOff>
      <xdr:row>31</xdr:row>
      <xdr:rowOff>78545</xdr:rowOff>
    </xdr:to>
    <xdr:pic>
      <xdr:nvPicPr>
        <xdr:cNvPr id="4" name="Imagen 3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254741" y="5608320"/>
          <a:ext cx="450574" cy="444305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29</xdr:row>
      <xdr:rowOff>11724</xdr:rowOff>
    </xdr:from>
    <xdr:to>
      <xdr:col>14</xdr:col>
      <xdr:colOff>880627</xdr:colOff>
      <xdr:row>31</xdr:row>
      <xdr:rowOff>76200</xdr:rowOff>
    </xdr:to>
    <xdr:sp macro="" textlink="">
      <xdr:nvSpPr>
        <xdr:cNvPr id="5" name="CuadroTexto 4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416540" y="5620044"/>
          <a:ext cx="880627" cy="430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partnersgrou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showGridLines="0" showRowColHeaders="0" tabSelected="1" zoomScale="85" zoomScaleNormal="85" workbookViewId="0"/>
  </sheetViews>
  <sheetFormatPr baseColWidth="10" defaultRowHeight="15" x14ac:dyDescent="0.25"/>
  <cols>
    <col min="1" max="1" width="5.28515625" customWidth="1"/>
    <col min="4" max="4" width="17.140625" customWidth="1"/>
    <col min="5" max="5" width="11.5703125" customWidth="1"/>
    <col min="9" max="9" width="9.140625" customWidth="1"/>
    <col min="13" max="13" width="14.85546875" customWidth="1"/>
  </cols>
  <sheetData>
    <row r="1" spans="1:18" ht="14.4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14.45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ht="14.45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11" spans="1:18" x14ac:dyDescent="0.25">
      <c r="D11" t="s">
        <v>118</v>
      </c>
    </row>
    <row r="31" spans="3:16" x14ac:dyDescent="0.25">
      <c r="C31" t="s">
        <v>118</v>
      </c>
      <c r="G31" t="s">
        <v>118</v>
      </c>
      <c r="L31" t="s">
        <v>118</v>
      </c>
      <c r="P31" t="s">
        <v>118</v>
      </c>
    </row>
  </sheetData>
  <sheetProtection algorithmName="SHA-512" hashValue="d2AMxVuDm9GOI5iql7b8oVghqtnOuGiGxKTIrGvZLy7OzoQMfzWkosmOFntQPpyPrqFGvsPYT0OqoIDLIz8E8Q==" saltValue="MitsWgMzBZWlF281rmddaw==" spinCount="100000" sheet="1" objects="1" scenarios="1" selectLockedCells="1" selectUnlockedCells="1"/>
  <hyperlinks>
    <hyperlink ref="A34" r:id="rId1" display="https://www.winpartnersgroup.com/ " xr:uid="{00000000-0004-0000-0000-000000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1"/>
  <sheetViews>
    <sheetView showGridLines="0" showRowColHeaders="0" zoomScale="85" zoomScaleNormal="85" workbookViewId="0">
      <selection activeCell="D7" sqref="D7"/>
    </sheetView>
  </sheetViews>
  <sheetFormatPr baseColWidth="10" defaultRowHeight="15" x14ac:dyDescent="0.25"/>
  <cols>
    <col min="1" max="1" width="17.42578125" customWidth="1"/>
    <col min="2" max="2" width="11.5703125" customWidth="1"/>
    <col min="3" max="3" width="27.28515625" customWidth="1"/>
    <col min="4" max="4" width="12.140625" bestFit="1" customWidth="1"/>
    <col min="5" max="5" width="6.42578125" customWidth="1"/>
    <col min="6" max="6" width="29.140625" customWidth="1"/>
    <col min="11" max="11" width="16.85546875" bestFit="1" customWidth="1"/>
  </cols>
  <sheetData>
    <row r="1" spans="2:13" ht="26.25" x14ac:dyDescent="0.4">
      <c r="B1" s="20" t="s">
        <v>145</v>
      </c>
    </row>
    <row r="3" spans="2:13" ht="21" x14ac:dyDescent="0.35">
      <c r="B3" s="72">
        <v>1</v>
      </c>
      <c r="C3" s="18" t="s">
        <v>25</v>
      </c>
      <c r="H3" s="72">
        <v>4</v>
      </c>
      <c r="I3" s="18" t="s">
        <v>72</v>
      </c>
    </row>
    <row r="4" spans="2:13" ht="21" x14ac:dyDescent="0.35">
      <c r="B4" s="17" t="s">
        <v>127</v>
      </c>
      <c r="D4" s="16"/>
      <c r="E4" s="16"/>
      <c r="I4" s="17" t="s">
        <v>135</v>
      </c>
    </row>
    <row r="5" spans="2:13" x14ac:dyDescent="0.25">
      <c r="B5" s="17" t="s">
        <v>126</v>
      </c>
      <c r="I5" s="17" t="s">
        <v>142</v>
      </c>
    </row>
    <row r="6" spans="2:13" x14ac:dyDescent="0.25">
      <c r="D6" s="66" t="s">
        <v>122</v>
      </c>
      <c r="J6" s="4" t="s">
        <v>133</v>
      </c>
      <c r="L6" s="33" t="s">
        <v>134</v>
      </c>
    </row>
    <row r="7" spans="2:13" x14ac:dyDescent="0.25">
      <c r="C7" s="6" t="s">
        <v>123</v>
      </c>
      <c r="D7" s="39">
        <v>25</v>
      </c>
      <c r="J7" s="6" t="s">
        <v>73</v>
      </c>
      <c r="K7" s="39">
        <v>40</v>
      </c>
      <c r="L7" s="36">
        <v>10</v>
      </c>
      <c r="M7" s="32">
        <f>L7/$L$10</f>
        <v>0.05</v>
      </c>
    </row>
    <row r="8" spans="2:13" x14ac:dyDescent="0.25">
      <c r="C8" s="6" t="s">
        <v>124</v>
      </c>
      <c r="D8" s="39">
        <v>0</v>
      </c>
      <c r="J8" s="6" t="s">
        <v>75</v>
      </c>
      <c r="K8" s="39">
        <v>20</v>
      </c>
      <c r="L8" s="36">
        <v>60</v>
      </c>
      <c r="M8" s="32">
        <f>L8/$L$10</f>
        <v>0.3</v>
      </c>
    </row>
    <row r="9" spans="2:13" x14ac:dyDescent="0.25">
      <c r="C9" s="6" t="s">
        <v>125</v>
      </c>
      <c r="D9" s="39">
        <v>0</v>
      </c>
      <c r="J9" s="6" t="s">
        <v>74</v>
      </c>
      <c r="K9" s="39">
        <v>5</v>
      </c>
      <c r="L9" s="36">
        <v>130</v>
      </c>
      <c r="M9" s="32">
        <f>L9/$L$10</f>
        <v>0.65</v>
      </c>
    </row>
    <row r="10" spans="2:13" x14ac:dyDescent="0.25">
      <c r="C10" s="6" t="s">
        <v>27</v>
      </c>
      <c r="D10" s="5">
        <f>SUM(D7:D9)</f>
        <v>25</v>
      </c>
      <c r="J10" s="6" t="s">
        <v>76</v>
      </c>
      <c r="K10" s="5">
        <f>AVERAGE(K7:K9)</f>
        <v>21.666666666666668</v>
      </c>
      <c r="L10" s="27">
        <f>SUM(L7:L9)</f>
        <v>200</v>
      </c>
      <c r="M10" s="32">
        <f>L10/$L$10</f>
        <v>1</v>
      </c>
    </row>
    <row r="11" spans="2:13" x14ac:dyDescent="0.25">
      <c r="J11" s="4" t="s">
        <v>136</v>
      </c>
    </row>
    <row r="12" spans="2:13" ht="21" x14ac:dyDescent="0.35">
      <c r="B12" s="72">
        <v>2</v>
      </c>
      <c r="C12" s="18" t="s">
        <v>26</v>
      </c>
      <c r="J12" s="6" t="s">
        <v>73</v>
      </c>
      <c r="K12" s="39">
        <v>25</v>
      </c>
    </row>
    <row r="13" spans="2:13" ht="21" x14ac:dyDescent="0.35">
      <c r="B13" s="17" t="s">
        <v>30</v>
      </c>
      <c r="D13" s="16"/>
      <c r="E13" s="16"/>
      <c r="J13" s="6" t="s">
        <v>74</v>
      </c>
      <c r="K13" s="39">
        <v>10</v>
      </c>
    </row>
    <row r="14" spans="2:13" x14ac:dyDescent="0.25">
      <c r="B14" s="17" t="s">
        <v>31</v>
      </c>
      <c r="K14" s="5">
        <f>AVERAGE(K12:K13)</f>
        <v>17.5</v>
      </c>
    </row>
    <row r="15" spans="2:13" x14ac:dyDescent="0.25">
      <c r="J15" s="4" t="s">
        <v>77</v>
      </c>
      <c r="K15" s="5">
        <f>AVERAGE(K10,K14)</f>
        <v>19.583333333333336</v>
      </c>
    </row>
    <row r="16" spans="2:13" x14ac:dyDescent="0.25">
      <c r="C16" s="6" t="s">
        <v>128</v>
      </c>
      <c r="D16" s="36">
        <v>3</v>
      </c>
    </row>
    <row r="17" spans="2:13" ht="21" x14ac:dyDescent="0.35">
      <c r="C17" s="6" t="s">
        <v>129</v>
      </c>
      <c r="D17" s="36">
        <v>20</v>
      </c>
      <c r="H17" s="108" t="s">
        <v>143</v>
      </c>
      <c r="I17" s="109"/>
      <c r="J17" s="109"/>
      <c r="K17" s="109"/>
      <c r="L17" s="109"/>
      <c r="M17" s="110"/>
    </row>
    <row r="18" spans="2:13" ht="14.45" customHeight="1" x14ac:dyDescent="0.25">
      <c r="C18" s="6" t="s">
        <v>130</v>
      </c>
      <c r="D18" s="27">
        <f>D17/D16</f>
        <v>6.666666666666667</v>
      </c>
      <c r="H18" s="111" t="s">
        <v>144</v>
      </c>
      <c r="I18" s="112"/>
      <c r="J18" s="112"/>
      <c r="K18" s="112"/>
      <c r="L18" s="112"/>
      <c r="M18" s="113"/>
    </row>
    <row r="19" spans="2:13" x14ac:dyDescent="0.25">
      <c r="B19" s="19"/>
      <c r="C19" s="6" t="s">
        <v>131</v>
      </c>
      <c r="D19" s="40">
        <v>0.25</v>
      </c>
      <c r="H19" s="73"/>
      <c r="I19" s="74"/>
      <c r="J19" s="74"/>
      <c r="K19" s="74"/>
      <c r="L19" s="74"/>
      <c r="M19" s="75"/>
    </row>
    <row r="20" spans="2:13" ht="21" x14ac:dyDescent="0.35">
      <c r="C20" s="6" t="s">
        <v>132</v>
      </c>
      <c r="D20" s="27">
        <f>D16*D19</f>
        <v>0.75</v>
      </c>
      <c r="H20" s="76"/>
      <c r="I20" s="74"/>
      <c r="J20" s="86" t="str">
        <f>IF(D7&gt;0,C7,IF(D8&gt;0,C8,IF(D9&gt;0,C9,0)))</f>
        <v>Gama Económica</v>
      </c>
      <c r="K20" s="85">
        <f>(D28*D27)*D29*(D20*D18)*K15</f>
        <v>18800.000000000004</v>
      </c>
      <c r="L20" s="74"/>
      <c r="M20" s="75"/>
    </row>
    <row r="21" spans="2:13" ht="15.75" x14ac:dyDescent="0.25">
      <c r="H21" s="76"/>
      <c r="I21" s="74"/>
      <c r="J21" s="70" t="s">
        <v>137</v>
      </c>
      <c r="K21" s="77">
        <f>K20/K15</f>
        <v>960.00000000000011</v>
      </c>
      <c r="L21" s="71" t="s">
        <v>34</v>
      </c>
      <c r="M21" s="75"/>
    </row>
    <row r="22" spans="2:13" ht="15.75" x14ac:dyDescent="0.25">
      <c r="H22" s="76"/>
      <c r="I22" s="74"/>
      <c r="J22" s="70" t="s">
        <v>137</v>
      </c>
      <c r="K22" s="77">
        <f>K21/D29</f>
        <v>240.00000000000003</v>
      </c>
      <c r="L22" s="71" t="s">
        <v>35</v>
      </c>
      <c r="M22" s="75"/>
    </row>
    <row r="23" spans="2:13" ht="21" x14ac:dyDescent="0.35">
      <c r="B23" s="72">
        <v>3</v>
      </c>
      <c r="C23" s="18" t="s">
        <v>28</v>
      </c>
      <c r="H23" s="76"/>
      <c r="I23" s="74"/>
      <c r="J23" s="70" t="s">
        <v>137</v>
      </c>
      <c r="K23" s="77">
        <f>K22/D27</f>
        <v>40.000000000000007</v>
      </c>
      <c r="L23" s="71" t="s">
        <v>36</v>
      </c>
      <c r="M23" s="75"/>
    </row>
    <row r="24" spans="2:13" ht="21" x14ac:dyDescent="0.35">
      <c r="B24" s="17" t="s">
        <v>33</v>
      </c>
      <c r="D24" s="16"/>
      <c r="E24" s="16"/>
      <c r="H24" s="76"/>
      <c r="I24" s="74"/>
      <c r="J24" s="70" t="s">
        <v>137</v>
      </c>
      <c r="K24" s="77">
        <f>K23/D28</f>
        <v>5.0000000000000009</v>
      </c>
      <c r="L24" s="71" t="s">
        <v>37</v>
      </c>
      <c r="M24" s="75"/>
    </row>
    <row r="25" spans="2:13" x14ac:dyDescent="0.25">
      <c r="B25" s="17" t="s">
        <v>32</v>
      </c>
      <c r="H25" s="76"/>
      <c r="I25" s="74"/>
      <c r="J25" s="74"/>
      <c r="K25" s="74"/>
      <c r="L25" s="74"/>
      <c r="M25" s="75"/>
    </row>
    <row r="26" spans="2:13" ht="21" x14ac:dyDescent="0.35">
      <c r="H26" s="76"/>
      <c r="I26" s="74"/>
      <c r="J26" s="86" t="str">
        <f>J21</f>
        <v>Productos a vender</v>
      </c>
      <c r="K26" s="84">
        <f>K21</f>
        <v>960.00000000000011</v>
      </c>
      <c r="L26" s="74"/>
      <c r="M26" s="75"/>
    </row>
    <row r="27" spans="2:13" ht="15.75" x14ac:dyDescent="0.25">
      <c r="C27" s="6" t="s">
        <v>40</v>
      </c>
      <c r="D27" s="36">
        <v>6</v>
      </c>
      <c r="H27" s="76"/>
      <c r="I27" s="74"/>
      <c r="J27" s="70" t="s">
        <v>38</v>
      </c>
      <c r="K27" s="77">
        <f>K21/$D$30</f>
        <v>752.00000000000023</v>
      </c>
      <c r="L27" s="71" t="s">
        <v>34</v>
      </c>
      <c r="M27" s="75"/>
    </row>
    <row r="28" spans="2:13" ht="15.75" x14ac:dyDescent="0.25">
      <c r="C28" s="6" t="s">
        <v>41</v>
      </c>
      <c r="D28" s="36">
        <v>8</v>
      </c>
      <c r="H28" s="76"/>
      <c r="I28" s="74"/>
      <c r="J28" s="70" t="s">
        <v>38</v>
      </c>
      <c r="K28" s="77">
        <f>K22/$D$30</f>
        <v>188.00000000000006</v>
      </c>
      <c r="L28" s="71" t="s">
        <v>35</v>
      </c>
      <c r="M28" s="75"/>
    </row>
    <row r="29" spans="2:13" ht="15.75" x14ac:dyDescent="0.25">
      <c r="C29" s="6" t="s">
        <v>29</v>
      </c>
      <c r="D29" s="35">
        <v>4</v>
      </c>
      <c r="H29" s="76"/>
      <c r="I29" s="74"/>
      <c r="J29" s="70" t="s">
        <v>38</v>
      </c>
      <c r="K29" s="77">
        <f>K23/$D$30</f>
        <v>31.333333333333343</v>
      </c>
      <c r="L29" s="71" t="s">
        <v>36</v>
      </c>
      <c r="M29" s="75"/>
    </row>
    <row r="30" spans="2:13" ht="15.75" x14ac:dyDescent="0.25">
      <c r="C30" s="6" t="s">
        <v>39</v>
      </c>
      <c r="D30" s="31">
        <f>D10/K15</f>
        <v>1.2765957446808509</v>
      </c>
      <c r="H30" s="78"/>
      <c r="I30" s="79"/>
      <c r="J30" s="80" t="s">
        <v>38</v>
      </c>
      <c r="K30" s="81">
        <f>K24/$D$30</f>
        <v>3.9166666666666679</v>
      </c>
      <c r="L30" s="82" t="s">
        <v>37</v>
      </c>
      <c r="M30" s="83"/>
    </row>
    <row r="31" spans="2:13" x14ac:dyDescent="0.25">
      <c r="C31" s="6"/>
    </row>
  </sheetData>
  <sheetProtection algorithmName="SHA-512" hashValue="DZ5vYxw0/JpDUDOX/QhTac16s2Um+khZckP0BmppUPkws8crTl+Te1zkPezzQvGiyzdLo52q3ZaIoXkDSF/cxQ==" saltValue="b0G/4Qc4cQNU+svrSqXwXQ==" spinCount="100000" sheet="1" objects="1" scenarios="1" selectLockedCells="1"/>
  <mergeCells count="2">
    <mergeCell ref="H17:M17"/>
    <mergeCell ref="H18:M1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showRowColHeaders="0" zoomScale="85" zoomScaleNormal="85" workbookViewId="0">
      <selection activeCell="G10" sqref="G10"/>
    </sheetView>
  </sheetViews>
  <sheetFormatPr baseColWidth="10" defaultRowHeight="15" x14ac:dyDescent="0.25"/>
  <cols>
    <col min="1" max="1" width="8.7109375" customWidth="1"/>
    <col min="2" max="2" width="11.5703125" customWidth="1"/>
    <col min="3" max="3" width="15.7109375" customWidth="1"/>
    <col min="4" max="4" width="9.7109375" customWidth="1"/>
    <col min="5" max="5" width="6.42578125" customWidth="1"/>
    <col min="6" max="6" width="46.85546875" customWidth="1"/>
    <col min="7" max="7" width="16.85546875" bestFit="1" customWidth="1"/>
    <col min="8" max="8" width="2" customWidth="1"/>
    <col min="11" max="14" width="15.7109375" customWidth="1"/>
    <col min="15" max="15" width="3.85546875" customWidth="1"/>
  </cols>
  <sheetData>
    <row r="1" spans="2:16" ht="26.25" x14ac:dyDescent="0.4">
      <c r="B1" s="20" t="s">
        <v>146</v>
      </c>
    </row>
    <row r="2" spans="2:16" ht="11.45" customHeight="1" x14ac:dyDescent="0.25"/>
    <row r="3" spans="2:16" ht="21" x14ac:dyDescent="0.35">
      <c r="B3" s="72">
        <v>1</v>
      </c>
      <c r="C3" s="18" t="s">
        <v>62</v>
      </c>
      <c r="I3" s="114" t="s">
        <v>52</v>
      </c>
      <c r="J3" s="114"/>
      <c r="K3" s="114"/>
      <c r="L3" s="114"/>
      <c r="M3" s="114"/>
      <c r="N3" s="114"/>
      <c r="O3" s="114"/>
    </row>
    <row r="4" spans="2:16" x14ac:dyDescent="0.25">
      <c r="B4" s="17" t="s">
        <v>49</v>
      </c>
      <c r="I4" s="92"/>
      <c r="J4" s="92"/>
      <c r="K4" s="92"/>
      <c r="L4" s="92"/>
      <c r="M4" s="92"/>
      <c r="N4" s="92"/>
      <c r="O4" s="92"/>
    </row>
    <row r="5" spans="2:16" ht="18.75" x14ac:dyDescent="0.3">
      <c r="B5" s="17" t="s">
        <v>147</v>
      </c>
      <c r="I5" s="92"/>
      <c r="J5" s="93"/>
      <c r="K5" s="94" t="s">
        <v>14</v>
      </c>
      <c r="L5" s="94" t="s">
        <v>59</v>
      </c>
      <c r="M5" s="94" t="s">
        <v>60</v>
      </c>
      <c r="N5" s="94" t="s">
        <v>57</v>
      </c>
      <c r="O5" s="92"/>
    </row>
    <row r="6" spans="2:16" ht="18.75" x14ac:dyDescent="0.3">
      <c r="B6" s="17" t="s">
        <v>120</v>
      </c>
      <c r="I6" s="92"/>
      <c r="J6" s="93" t="s">
        <v>53</v>
      </c>
      <c r="K6" s="24">
        <f>SUM(C21:C23)</f>
        <v>65800.000000000015</v>
      </c>
      <c r="L6" s="24">
        <f>SUM(K21:K23)</f>
        <v>42770.000000000015</v>
      </c>
      <c r="M6" s="24">
        <f>SUM(N21:N23)</f>
        <v>11844.000000000002</v>
      </c>
      <c r="N6" s="29">
        <f>K6-L6-M6</f>
        <v>11185.999999999998</v>
      </c>
      <c r="O6" s="92"/>
    </row>
    <row r="7" spans="2:16" ht="18.75" x14ac:dyDescent="0.3">
      <c r="B7" s="17"/>
      <c r="I7" s="92"/>
      <c r="J7" s="93" t="s">
        <v>54</v>
      </c>
      <c r="K7" s="24">
        <f>SUM(C24:C26)</f>
        <v>43866.666666666672</v>
      </c>
      <c r="L7" s="24">
        <f>SUM(K24:K26)</f>
        <v>28513.333333333343</v>
      </c>
      <c r="M7" s="24">
        <f>SUM(N24:N26)</f>
        <v>7896.0000000000009</v>
      </c>
      <c r="N7" s="29">
        <f t="shared" ref="N7:N9" si="0">K7-L7-M7</f>
        <v>7457.3333333333276</v>
      </c>
      <c r="O7" s="92"/>
    </row>
    <row r="8" spans="2:16" ht="18.75" x14ac:dyDescent="0.3">
      <c r="E8" s="21" t="str">
        <f>'Multiplicando su Negocio'!J20</f>
        <v>Gama Económica</v>
      </c>
      <c r="F8" s="22" t="s">
        <v>48</v>
      </c>
      <c r="G8" s="87">
        <f>'Multiplicando su Negocio'!K20</f>
        <v>18800.000000000004</v>
      </c>
      <c r="H8" s="25"/>
      <c r="I8" s="95"/>
      <c r="J8" s="93" t="s">
        <v>55</v>
      </c>
      <c r="K8" s="24">
        <f>SUM(C27:C29)</f>
        <v>78333.333333333343</v>
      </c>
      <c r="L8" s="24">
        <f>SUM(K27:K29)</f>
        <v>50916.666666666679</v>
      </c>
      <c r="M8" s="24">
        <f>SUM(N27:N29)</f>
        <v>14100.000000000004</v>
      </c>
      <c r="N8" s="29">
        <f t="shared" si="0"/>
        <v>13316.666666666661</v>
      </c>
      <c r="O8" s="92"/>
    </row>
    <row r="9" spans="2:16" ht="18.75" x14ac:dyDescent="0.3">
      <c r="F9" s="6" t="s">
        <v>43</v>
      </c>
      <c r="G9" s="35" t="s">
        <v>15</v>
      </c>
      <c r="H9" s="26"/>
      <c r="I9" s="92"/>
      <c r="J9" s="93" t="s">
        <v>56</v>
      </c>
      <c r="K9" s="24">
        <f>SUM(C30:C32)</f>
        <v>65800.000000000015</v>
      </c>
      <c r="L9" s="24">
        <f>SUM(K30:K32)</f>
        <v>42770.000000000007</v>
      </c>
      <c r="M9" s="24">
        <f>SUM(N30:N32)</f>
        <v>11844.000000000004</v>
      </c>
      <c r="N9" s="29">
        <f t="shared" si="0"/>
        <v>11186.000000000004</v>
      </c>
      <c r="O9" s="92"/>
    </row>
    <row r="10" spans="2:16" ht="18" customHeight="1" x14ac:dyDescent="0.3">
      <c r="B10" s="19"/>
      <c r="C10" s="19"/>
      <c r="D10" s="19"/>
      <c r="E10" s="19"/>
      <c r="F10" s="6" t="s">
        <v>44</v>
      </c>
      <c r="G10" s="35">
        <v>6</v>
      </c>
      <c r="H10" s="26"/>
      <c r="I10" s="92"/>
      <c r="J10" s="93" t="s">
        <v>58</v>
      </c>
      <c r="K10" s="96">
        <f>SUM(K6:K9)</f>
        <v>253800.00000000006</v>
      </c>
      <c r="L10" s="96">
        <f t="shared" ref="L10:N10" si="1">SUM(L6:L9)</f>
        <v>164970.00000000003</v>
      </c>
      <c r="M10" s="96">
        <f t="shared" si="1"/>
        <v>45684.000000000015</v>
      </c>
      <c r="N10" s="96">
        <f t="shared" si="1"/>
        <v>43145.999999999985</v>
      </c>
      <c r="O10" s="92"/>
      <c r="P10" s="30">
        <f>N10/K10</f>
        <v>0.1699999999999999</v>
      </c>
    </row>
    <row r="11" spans="2:16" x14ac:dyDescent="0.25">
      <c r="F11" s="6" t="s">
        <v>148</v>
      </c>
      <c r="G11" s="36" t="s">
        <v>119</v>
      </c>
      <c r="H11" s="27"/>
      <c r="I11" s="118" t="s">
        <v>78</v>
      </c>
      <c r="J11" s="118"/>
      <c r="K11" s="118"/>
      <c r="L11" s="118"/>
      <c r="M11" s="118"/>
      <c r="N11" s="118"/>
      <c r="O11" s="118"/>
    </row>
    <row r="12" spans="2:16" x14ac:dyDescent="0.25">
      <c r="I12" s="17"/>
    </row>
    <row r="13" spans="2:16" ht="21" x14ac:dyDescent="0.35">
      <c r="B13" s="72">
        <v>2</v>
      </c>
      <c r="C13" s="18" t="s">
        <v>61</v>
      </c>
      <c r="I13" s="72">
        <v>3</v>
      </c>
      <c r="J13" s="18" t="s">
        <v>63</v>
      </c>
      <c r="K13" s="18"/>
    </row>
    <row r="14" spans="2:16" ht="21" x14ac:dyDescent="0.35">
      <c r="B14" s="17" t="s">
        <v>45</v>
      </c>
      <c r="D14" s="16"/>
      <c r="E14" s="16"/>
      <c r="J14" s="17" t="s">
        <v>64</v>
      </c>
    </row>
    <row r="15" spans="2:16" x14ac:dyDescent="0.25">
      <c r="B15" s="17" t="s">
        <v>47</v>
      </c>
      <c r="J15" s="17" t="s">
        <v>65</v>
      </c>
    </row>
    <row r="16" spans="2:16" x14ac:dyDescent="0.25">
      <c r="B16" t="s">
        <v>121</v>
      </c>
      <c r="G16" s="35" t="s">
        <v>17</v>
      </c>
      <c r="H16" s="26"/>
      <c r="J16" t="s">
        <v>66</v>
      </c>
      <c r="M16" t="s">
        <v>69</v>
      </c>
    </row>
    <row r="17" spans="2:14" x14ac:dyDescent="0.25">
      <c r="B17" t="s">
        <v>46</v>
      </c>
      <c r="G17" s="35">
        <v>3</v>
      </c>
      <c r="H17" s="26"/>
      <c r="J17" t="s">
        <v>67</v>
      </c>
      <c r="M17" t="s">
        <v>67</v>
      </c>
    </row>
    <row r="18" spans="2:14" x14ac:dyDescent="0.25">
      <c r="B18" t="s">
        <v>42</v>
      </c>
      <c r="J18" t="s">
        <v>68</v>
      </c>
      <c r="M18" t="s">
        <v>68</v>
      </c>
    </row>
    <row r="19" spans="2:14" x14ac:dyDescent="0.25">
      <c r="K19" s="38">
        <v>0.65</v>
      </c>
      <c r="N19" s="38">
        <v>0.18</v>
      </c>
    </row>
    <row r="20" spans="2:14" ht="15.75" x14ac:dyDescent="0.25">
      <c r="B20" s="115" t="s">
        <v>7</v>
      </c>
      <c r="C20" s="117"/>
      <c r="D20" s="116"/>
      <c r="F20" s="28" t="s">
        <v>138</v>
      </c>
      <c r="J20" s="115" t="s">
        <v>50</v>
      </c>
      <c r="K20" s="116"/>
      <c r="M20" s="115" t="s">
        <v>51</v>
      </c>
      <c r="N20" s="116"/>
    </row>
    <row r="21" spans="2:14" ht="15.6" customHeight="1" x14ac:dyDescent="0.25">
      <c r="B21" s="14" t="s">
        <v>9</v>
      </c>
      <c r="C21" s="5">
        <f>IF($G$16="Enero",'Multiplicando su Negocio'!$K$20*'Presupuesto Anual Franquicias'!D21/'Presupuesto Anual Franquicias'!$G$10,'Multiplicando su Negocio'!$K$20*'Presupuesto Anual Franquicias'!D21/'Presupuesto Anual Franquicias'!$G$10)</f>
        <v>25066.666666666672</v>
      </c>
      <c r="D21" s="15">
        <f>IF($G$16="Enero",$G$17,G21)</f>
        <v>8</v>
      </c>
      <c r="F21" s="6" t="str">
        <f>B21</f>
        <v>Enero</v>
      </c>
      <c r="G21" s="37">
        <v>8</v>
      </c>
      <c r="H21" s="26"/>
      <c r="J21" s="14" t="s">
        <v>9</v>
      </c>
      <c r="K21" s="23">
        <f>C21*$K$19</f>
        <v>16293.333333333338</v>
      </c>
      <c r="M21" s="14" t="s">
        <v>9</v>
      </c>
      <c r="N21" s="23">
        <f>C21*$N$19</f>
        <v>4512.0000000000009</v>
      </c>
    </row>
    <row r="22" spans="2:14" x14ac:dyDescent="0.25">
      <c r="B22" s="14" t="s">
        <v>12</v>
      </c>
      <c r="C22" s="5">
        <f>IF($G$16="Febrero",'Multiplicando su Negocio'!$K$20*'Presupuesto Anual Franquicias'!D22/'Presupuesto Anual Franquicias'!$G$10,'Multiplicando su Negocio'!$K$20*'Presupuesto Anual Franquicias'!D22/'Presupuesto Anual Franquicias'!$G$10)</f>
        <v>21933.333333333339</v>
      </c>
      <c r="D22" s="15">
        <f>IF($G$16="Febrero",$G$17,G22)</f>
        <v>7</v>
      </c>
      <c r="F22" s="6" t="str">
        <f t="shared" ref="F22:F32" si="2">B22</f>
        <v>Febrero</v>
      </c>
      <c r="G22" s="37">
        <v>7</v>
      </c>
      <c r="H22" s="26"/>
      <c r="J22" s="14" t="s">
        <v>12</v>
      </c>
      <c r="K22" s="23">
        <f t="shared" ref="K22:K32" si="3">C22*$K$19</f>
        <v>14256.666666666672</v>
      </c>
      <c r="M22" s="14" t="s">
        <v>12</v>
      </c>
      <c r="N22" s="23">
        <f t="shared" ref="N22:N32" si="4">C22*$N$19</f>
        <v>3948.0000000000009</v>
      </c>
    </row>
    <row r="23" spans="2:14" x14ac:dyDescent="0.25">
      <c r="B23" s="14" t="s">
        <v>13</v>
      </c>
      <c r="C23" s="5">
        <f>IF($G$16="Marzo",'Multiplicando su Negocio'!$K$20*'Presupuesto Anual Franquicias'!D23/'Presupuesto Anual Franquicias'!$G$10,'Multiplicando su Negocio'!$K$20*'Presupuesto Anual Franquicias'!D23/'Presupuesto Anual Franquicias'!$G$10)</f>
        <v>18800.000000000004</v>
      </c>
      <c r="D23" s="15">
        <f>IF($G$16="Marzo",$G$17,G23)</f>
        <v>6</v>
      </c>
      <c r="F23" s="6" t="str">
        <f t="shared" si="2"/>
        <v>Marzo</v>
      </c>
      <c r="G23" s="37">
        <v>6</v>
      </c>
      <c r="H23" s="26"/>
      <c r="J23" s="14" t="s">
        <v>13</v>
      </c>
      <c r="K23" s="23">
        <f t="shared" si="3"/>
        <v>12220.000000000004</v>
      </c>
      <c r="M23" s="14" t="s">
        <v>13</v>
      </c>
      <c r="N23" s="23">
        <f t="shared" si="4"/>
        <v>3384.0000000000005</v>
      </c>
    </row>
    <row r="24" spans="2:14" x14ac:dyDescent="0.25">
      <c r="B24" s="14" t="s">
        <v>15</v>
      </c>
      <c r="C24" s="5">
        <f>IF($G$16="Abril",'Multiplicando su Negocio'!$K$20*'Presupuesto Anual Franquicias'!D24/'Presupuesto Anual Franquicias'!$G$10,'Multiplicando su Negocio'!$K$20*'Presupuesto Anual Franquicias'!D24/'Presupuesto Anual Franquicias'!$G$10)</f>
        <v>18800.000000000004</v>
      </c>
      <c r="D24" s="15">
        <f>IF($G$16="Abril",$G$17,G24)</f>
        <v>6</v>
      </c>
      <c r="F24" s="6" t="str">
        <f t="shared" si="2"/>
        <v>Abril</v>
      </c>
      <c r="G24" s="37">
        <v>6</v>
      </c>
      <c r="H24" s="26"/>
      <c r="J24" s="14" t="s">
        <v>15</v>
      </c>
      <c r="K24" s="23">
        <f t="shared" si="3"/>
        <v>12220.000000000004</v>
      </c>
      <c r="M24" s="14" t="s">
        <v>15</v>
      </c>
      <c r="N24" s="23">
        <f t="shared" si="4"/>
        <v>3384.0000000000005</v>
      </c>
    </row>
    <row r="25" spans="2:14" x14ac:dyDescent="0.25">
      <c r="B25" s="14" t="s">
        <v>16</v>
      </c>
      <c r="C25" s="5">
        <f>IF($G$16="Mayo",'Multiplicando su Negocio'!$K$20*'Presupuesto Anual Franquicias'!D25/'Presupuesto Anual Franquicias'!$G$10,'Multiplicando su Negocio'!$K$20*'Presupuesto Anual Franquicias'!D25/'Presupuesto Anual Franquicias'!$G$10)</f>
        <v>15666.66666666667</v>
      </c>
      <c r="D25" s="15">
        <f>IF($G$16="Mayo",$G$17,G25)</f>
        <v>5</v>
      </c>
      <c r="F25" s="6" t="str">
        <f t="shared" si="2"/>
        <v>Mayo</v>
      </c>
      <c r="G25" s="37">
        <v>5</v>
      </c>
      <c r="H25" s="26"/>
      <c r="J25" s="14" t="s">
        <v>16</v>
      </c>
      <c r="K25" s="23">
        <f t="shared" si="3"/>
        <v>10183.333333333336</v>
      </c>
      <c r="M25" s="14" t="s">
        <v>16</v>
      </c>
      <c r="N25" s="23">
        <f t="shared" si="4"/>
        <v>2820.0000000000005</v>
      </c>
    </row>
    <row r="26" spans="2:14" x14ac:dyDescent="0.25">
      <c r="B26" s="14" t="s">
        <v>17</v>
      </c>
      <c r="C26" s="5">
        <f>IF($G$16="Junio",'Multiplicando su Negocio'!$K$20*'Presupuesto Anual Franquicias'!D26/'Presupuesto Anual Franquicias'!$G$10,'Multiplicando su Negocio'!$K$20*'Presupuesto Anual Franquicias'!D26/'Presupuesto Anual Franquicias'!$G$10)</f>
        <v>9400.0000000000018</v>
      </c>
      <c r="D26" s="15">
        <f>IF($G$16="Junio",$G$17,G26)</f>
        <v>3</v>
      </c>
      <c r="F26" s="6" t="str">
        <f t="shared" si="2"/>
        <v>Junio</v>
      </c>
      <c r="G26" s="37">
        <v>3</v>
      </c>
      <c r="H26" s="26"/>
      <c r="J26" s="14" t="s">
        <v>17</v>
      </c>
      <c r="K26" s="23">
        <f t="shared" si="3"/>
        <v>6110.0000000000018</v>
      </c>
      <c r="M26" s="14" t="s">
        <v>17</v>
      </c>
      <c r="N26" s="23">
        <f t="shared" si="4"/>
        <v>1692.0000000000002</v>
      </c>
    </row>
    <row r="27" spans="2:14" x14ac:dyDescent="0.25">
      <c r="B27" s="14" t="s">
        <v>18</v>
      </c>
      <c r="C27" s="5">
        <f>IF($G$16="Julio",'Multiplicando su Negocio'!$K$20*'Presupuesto Anual Franquicias'!D27/'Presupuesto Anual Franquicias'!$G$10,'Multiplicando su Negocio'!$K$20*'Presupuesto Anual Franquicias'!D27/'Presupuesto Anual Franquicias'!$G$10)</f>
        <v>28200.000000000004</v>
      </c>
      <c r="D27" s="15">
        <f>IF($G$16="Julio",$G$17,G27)</f>
        <v>9</v>
      </c>
      <c r="F27" s="6" t="str">
        <f t="shared" si="2"/>
        <v>Julio</v>
      </c>
      <c r="G27" s="37">
        <v>9</v>
      </c>
      <c r="H27" s="26"/>
      <c r="J27" s="14" t="s">
        <v>18</v>
      </c>
      <c r="K27" s="23">
        <f t="shared" si="3"/>
        <v>18330.000000000004</v>
      </c>
      <c r="M27" s="14" t="s">
        <v>18</v>
      </c>
      <c r="N27" s="23">
        <f t="shared" si="4"/>
        <v>5076.0000000000009</v>
      </c>
    </row>
    <row r="28" spans="2:14" x14ac:dyDescent="0.25">
      <c r="B28" s="14" t="s">
        <v>19</v>
      </c>
      <c r="C28" s="5">
        <f>IF($G$16="Agosto",'Multiplicando su Negocio'!$K$20*'Presupuesto Anual Franquicias'!D28/'Presupuesto Anual Franquicias'!$G$10,'Multiplicando su Negocio'!$K$20*'Presupuesto Anual Franquicias'!D28/'Presupuesto Anual Franquicias'!$G$10)</f>
        <v>18800.000000000004</v>
      </c>
      <c r="D28" s="15">
        <f>IF($G$16="Agosto",$G$17,G28)</f>
        <v>6</v>
      </c>
      <c r="F28" s="6" t="str">
        <f t="shared" si="2"/>
        <v>Agosto</v>
      </c>
      <c r="G28" s="37">
        <v>6</v>
      </c>
      <c r="H28" s="26"/>
      <c r="J28" s="14" t="s">
        <v>19</v>
      </c>
      <c r="K28" s="23">
        <f t="shared" si="3"/>
        <v>12220.000000000004</v>
      </c>
      <c r="M28" s="14" t="s">
        <v>19</v>
      </c>
      <c r="N28" s="23">
        <f t="shared" si="4"/>
        <v>3384.0000000000005</v>
      </c>
    </row>
    <row r="29" spans="2:14" x14ac:dyDescent="0.25">
      <c r="B29" s="14" t="s">
        <v>20</v>
      </c>
      <c r="C29" s="5">
        <f>IF($G$16="Septiembre",'Multiplicando su Negocio'!$K$20*'Presupuesto Anual Franquicias'!D29/'Presupuesto Anual Franquicias'!$G$10,'Multiplicando su Negocio'!$K$20*'Presupuesto Anual Franquicias'!D29/'Presupuesto Anual Franquicias'!$G$10)</f>
        <v>31333.333333333339</v>
      </c>
      <c r="D29" s="15">
        <f>IF($G$16="Septiembre",$G$17,G29)</f>
        <v>10</v>
      </c>
      <c r="F29" s="6" t="str">
        <f t="shared" si="2"/>
        <v>Septiembre</v>
      </c>
      <c r="G29" s="37">
        <v>10</v>
      </c>
      <c r="H29" s="26"/>
      <c r="J29" s="14" t="s">
        <v>20</v>
      </c>
      <c r="K29" s="23">
        <f t="shared" si="3"/>
        <v>20366.666666666672</v>
      </c>
      <c r="M29" s="14" t="s">
        <v>20</v>
      </c>
      <c r="N29" s="23">
        <f t="shared" si="4"/>
        <v>5640.0000000000009</v>
      </c>
    </row>
    <row r="30" spans="2:14" ht="14.45" customHeight="1" x14ac:dyDescent="0.25">
      <c r="B30" s="14" t="s">
        <v>21</v>
      </c>
      <c r="C30" s="5">
        <f>IF($G$16="Octubre",'Multiplicando su Negocio'!$K$20*'Presupuesto Anual Franquicias'!D30/'Presupuesto Anual Franquicias'!$G$10,'Multiplicando su Negocio'!$K$20*'Presupuesto Anual Franquicias'!D30/'Presupuesto Anual Franquicias'!$G$10)</f>
        <v>25066.666666666672</v>
      </c>
      <c r="D30" s="15">
        <f>IF($G$16="Octubre",$G$17,G30)</f>
        <v>8</v>
      </c>
      <c r="F30" s="6" t="str">
        <f t="shared" si="2"/>
        <v>Octubre</v>
      </c>
      <c r="G30" s="37">
        <v>8</v>
      </c>
      <c r="H30" s="26"/>
      <c r="J30" s="14" t="s">
        <v>21</v>
      </c>
      <c r="K30" s="23">
        <f t="shared" si="3"/>
        <v>16293.333333333338</v>
      </c>
      <c r="M30" s="14" t="s">
        <v>21</v>
      </c>
      <c r="N30" s="23">
        <f t="shared" si="4"/>
        <v>4512.0000000000009</v>
      </c>
    </row>
    <row r="31" spans="2:14" x14ac:dyDescent="0.25">
      <c r="B31" s="14" t="s">
        <v>22</v>
      </c>
      <c r="C31" s="5">
        <f>IF($G$16="Noviembre",'Multiplicando su Negocio'!$K$20*'Presupuesto Anual Franquicias'!D31/'Presupuesto Anual Franquicias'!$G$10,'Multiplicando su Negocio'!$K$20*'Presupuesto Anual Franquicias'!D31/'Presupuesto Anual Franquicias'!$G$10)</f>
        <v>15666.66666666667</v>
      </c>
      <c r="D31" s="15">
        <f>IF($G$16="Noviembre",$G$17,G31)</f>
        <v>5</v>
      </c>
      <c r="F31" s="6" t="str">
        <f t="shared" si="2"/>
        <v>Noviembre</v>
      </c>
      <c r="G31" s="37">
        <v>5</v>
      </c>
      <c r="H31" s="26"/>
      <c r="J31" s="14" t="s">
        <v>22</v>
      </c>
      <c r="K31" s="23">
        <f t="shared" si="3"/>
        <v>10183.333333333336</v>
      </c>
      <c r="M31" s="14" t="s">
        <v>22</v>
      </c>
      <c r="N31" s="23">
        <f t="shared" si="4"/>
        <v>2820.0000000000005</v>
      </c>
    </row>
    <row r="32" spans="2:14" x14ac:dyDescent="0.25">
      <c r="B32" s="14" t="s">
        <v>23</v>
      </c>
      <c r="C32" s="5">
        <f>IF($G$16="Diciembre",'Multiplicando su Negocio'!$K$20*'Presupuesto Anual Franquicias'!D32/'Presupuesto Anual Franquicias'!$G$10,'Multiplicando su Negocio'!$K$20*'Presupuesto Anual Franquicias'!D32/'Presupuesto Anual Franquicias'!$G$10)</f>
        <v>25066.666666666672</v>
      </c>
      <c r="D32" s="15">
        <f>IF($G$16="Diciembre",$G$17,G32)</f>
        <v>8</v>
      </c>
      <c r="F32" s="6" t="str">
        <f t="shared" si="2"/>
        <v>Diciembre</v>
      </c>
      <c r="G32" s="37">
        <v>8</v>
      </c>
      <c r="H32" s="26"/>
      <c r="J32" s="14" t="s">
        <v>23</v>
      </c>
      <c r="K32" s="23">
        <f t="shared" si="3"/>
        <v>16293.333333333338</v>
      </c>
      <c r="M32" s="14" t="s">
        <v>23</v>
      </c>
      <c r="N32" s="23">
        <f t="shared" si="4"/>
        <v>4512.0000000000009</v>
      </c>
    </row>
    <row r="33" spans="2:14" x14ac:dyDescent="0.25">
      <c r="B33" s="88" t="s">
        <v>24</v>
      </c>
      <c r="C33" s="89">
        <f>SUM(C21:C32)</f>
        <v>253800</v>
      </c>
      <c r="D33" s="90">
        <v>1</v>
      </c>
      <c r="J33" s="88" t="s">
        <v>24</v>
      </c>
      <c r="K33" s="91">
        <f>SUM(K21:K32)</f>
        <v>164970.00000000006</v>
      </c>
      <c r="M33" s="88" t="s">
        <v>24</v>
      </c>
      <c r="N33" s="91">
        <f>SUM(N21:N32)</f>
        <v>45684.000000000007</v>
      </c>
    </row>
  </sheetData>
  <sheetProtection algorithmName="SHA-512" hashValue="/EyE0J7r4b6WMCDdubge6fCjp6P4A342BmN8LWnd03k5fWwL75YIP7Rd79y2xkpkdRPdcOMmXZt4RM/wVBxxAw==" saltValue="D8mVJfEjwMaSWDzfC6Fpmw==" spinCount="100000" sheet="1" objects="1" scenarios="1" selectLockedCells="1"/>
  <mergeCells count="5">
    <mergeCell ref="I3:O3"/>
    <mergeCell ref="J20:K20"/>
    <mergeCell ref="M20:N20"/>
    <mergeCell ref="B20:D20"/>
    <mergeCell ref="I11:O11"/>
  </mergeCells>
  <dataValidations count="4">
    <dataValidation type="list" allowBlank="1" showInputMessage="1" showErrorMessage="1" sqref="G16:H16" xr:uid="{00000000-0002-0000-0200-000000000000}">
      <formula1>$B$21:$B$32</formula1>
    </dataValidation>
    <dataValidation type="list" allowBlank="1" showInputMessage="1" showErrorMessage="1" sqref="G17:H17 G21:H32 G10:H10" xr:uid="{00000000-0002-0000-0200-000001000000}">
      <formula1>"1,2,3,4,5,6,7,8,9,10"</formula1>
    </dataValidation>
    <dataValidation type="list" allowBlank="1" showInputMessage="1" showErrorMessage="1" sqref="G11:H11" xr:uid="{00000000-0002-0000-0200-000002000000}">
      <formula1>"Ventas Bajas, Ventas Medias, Ventas Altas"</formula1>
    </dataValidation>
    <dataValidation type="list" allowBlank="1" showInputMessage="1" showErrorMessage="1" sqref="G9:H9" xr:uid="{00000000-0002-0000-0200-000003000000}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4"/>
  <sheetViews>
    <sheetView showGridLines="0" showRowColHeaders="0" zoomScale="85" zoomScaleNormal="85" workbookViewId="0">
      <selection activeCell="K11" sqref="K11"/>
    </sheetView>
  </sheetViews>
  <sheetFormatPr baseColWidth="10" defaultRowHeight="15" x14ac:dyDescent="0.25"/>
  <cols>
    <col min="1" max="1" width="6.42578125" customWidth="1"/>
    <col min="2" max="2" width="7.42578125" customWidth="1"/>
    <col min="4" max="4" width="12.140625" bestFit="1" customWidth="1"/>
    <col min="5" max="6" width="6.42578125" customWidth="1"/>
    <col min="7" max="7" width="3.42578125" customWidth="1"/>
    <col min="8" max="8" width="29.140625" customWidth="1"/>
    <col min="9" max="13" width="13.7109375" customWidth="1"/>
    <col min="14" max="14" width="13.7109375" hidden="1" customWidth="1"/>
    <col min="15" max="17" width="13.7109375" customWidth="1"/>
  </cols>
  <sheetData>
    <row r="1" spans="2:17" ht="26.25" x14ac:dyDescent="0.4">
      <c r="B1" s="124" t="str">
        <f>IF(Q7="SI","SU NEGOCIO PUEDE SER FRANQUICIADO","SU NEGOCIO NO PUEDE SER FRANQUICIADO")</f>
        <v>SU NEGOCIO PUEDE SER FRANQUICIADO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2:17" ht="7.9" customHeight="1" x14ac:dyDescent="0.25"/>
    <row r="3" spans="2:17" ht="21" x14ac:dyDescent="0.35">
      <c r="B3" s="18">
        <v>1</v>
      </c>
      <c r="C3" s="18" t="s">
        <v>79</v>
      </c>
      <c r="I3" s="18">
        <v>2</v>
      </c>
      <c r="J3" s="18" t="s">
        <v>81</v>
      </c>
      <c r="O3" s="18" t="s">
        <v>93</v>
      </c>
      <c r="P3" s="18"/>
      <c r="Q3" s="18"/>
    </row>
    <row r="4" spans="2:17" x14ac:dyDescent="0.25">
      <c r="B4" s="17" t="s">
        <v>80</v>
      </c>
      <c r="I4" s="17" t="s">
        <v>101</v>
      </c>
      <c r="O4" s="42" t="str">
        <f>IF((L21/L17)&gt;15%,"Su negocio SI PUEDE SER FRANQUICIABLE.","Su negocio NO PUEDE SER FRANQUICIABLE.")</f>
        <v>Su negocio SI PUEDE SER FRANQUICIABLE.</v>
      </c>
    </row>
    <row r="5" spans="2:17" x14ac:dyDescent="0.25">
      <c r="I5" s="17" t="s">
        <v>103</v>
      </c>
      <c r="O5" s="42" t="str">
        <f>IF((L21/L17)&gt;15%,"Ventajas competitivas a multiplicar:","Lo que debemos analizar:")</f>
        <v>Ventajas competitivas a multiplicar:</v>
      </c>
    </row>
    <row r="6" spans="2:17" ht="15.75" x14ac:dyDescent="0.25">
      <c r="C6" s="125" t="s">
        <v>7</v>
      </c>
      <c r="D6" s="126"/>
      <c r="E6" s="126"/>
      <c r="F6" s="127"/>
      <c r="G6" s="49"/>
      <c r="I6" s="17" t="s">
        <v>102</v>
      </c>
    </row>
    <row r="7" spans="2:17" x14ac:dyDescent="0.25">
      <c r="C7" s="14" t="s">
        <v>9</v>
      </c>
      <c r="D7" s="5">
        <f>'Presupuesto Anual Franquicias'!C21</f>
        <v>25066.666666666672</v>
      </c>
      <c r="E7" s="15">
        <f>'Presupuesto Anual Franquicias'!D21</f>
        <v>8</v>
      </c>
      <c r="F7" s="119" t="s">
        <v>10</v>
      </c>
      <c r="G7" s="50"/>
      <c r="O7" s="98"/>
      <c r="P7" s="99" t="s">
        <v>104</v>
      </c>
      <c r="Q7" s="105" t="str">
        <f>IF((L21/L17)&gt;15%,"SI","NO")</f>
        <v>SI</v>
      </c>
    </row>
    <row r="8" spans="2:17" x14ac:dyDescent="0.25">
      <c r="C8" s="14" t="s">
        <v>12</v>
      </c>
      <c r="D8" s="5">
        <f>'Presupuesto Anual Franquicias'!C22</f>
        <v>21933.333333333339</v>
      </c>
      <c r="E8" s="15">
        <f>'Presupuesto Anual Franquicias'!D22</f>
        <v>7</v>
      </c>
      <c r="F8" s="119"/>
      <c r="G8" s="50"/>
      <c r="J8" s="121" t="s">
        <v>5</v>
      </c>
      <c r="K8" s="122"/>
      <c r="L8" s="123"/>
      <c r="O8" s="100"/>
      <c r="P8" s="101" t="s">
        <v>86</v>
      </c>
      <c r="Q8" s="43">
        <f>J30</f>
        <v>1.5340277777777782</v>
      </c>
    </row>
    <row r="9" spans="2:17" x14ac:dyDescent="0.25">
      <c r="C9" s="14" t="s">
        <v>13</v>
      </c>
      <c r="D9" s="5">
        <f>'Presupuesto Anual Franquicias'!C23</f>
        <v>18800.000000000004</v>
      </c>
      <c r="E9" s="15">
        <f>'Presupuesto Anual Franquicias'!D23</f>
        <v>6</v>
      </c>
      <c r="F9" s="119"/>
      <c r="G9" s="50"/>
      <c r="J9" s="7" t="s">
        <v>0</v>
      </c>
      <c r="K9" s="8" t="s">
        <v>1</v>
      </c>
      <c r="L9" s="9" t="s">
        <v>2</v>
      </c>
      <c r="O9" s="100"/>
      <c r="P9" s="101" t="s">
        <v>87</v>
      </c>
      <c r="Q9" s="43">
        <f>J31</f>
        <v>2.5</v>
      </c>
    </row>
    <row r="10" spans="2:17" x14ac:dyDescent="0.25">
      <c r="C10" s="14" t="s">
        <v>15</v>
      </c>
      <c r="D10" s="5">
        <f>'Presupuesto Anual Franquicias'!C24</f>
        <v>18800.000000000004</v>
      </c>
      <c r="E10" s="15">
        <f>'Presupuesto Anual Franquicias'!D24</f>
        <v>6</v>
      </c>
      <c r="F10" s="119"/>
      <c r="G10" s="50"/>
      <c r="J10" s="34">
        <f>'Multiplicando su Negocio'!D19</f>
        <v>0.25</v>
      </c>
      <c r="K10" s="10">
        <f>+J10+$K$11</f>
        <v>0.4</v>
      </c>
      <c r="L10" s="11">
        <f>+K10+$K$11</f>
        <v>0.55000000000000004</v>
      </c>
      <c r="O10" s="100"/>
      <c r="P10" s="101" t="s">
        <v>141</v>
      </c>
      <c r="Q10" s="43">
        <f>J34</f>
        <v>26.666666666666668</v>
      </c>
    </row>
    <row r="11" spans="2:17" x14ac:dyDescent="0.25">
      <c r="C11" s="14" t="s">
        <v>16</v>
      </c>
      <c r="D11" s="5">
        <f>'Presupuesto Anual Franquicias'!C25</f>
        <v>15666.66666666667</v>
      </c>
      <c r="E11" s="15">
        <f>'Presupuesto Anual Franquicias'!D25</f>
        <v>5</v>
      </c>
      <c r="F11" s="119"/>
      <c r="G11" s="50"/>
      <c r="J11" s="12" t="s">
        <v>6</v>
      </c>
      <c r="K11" s="41">
        <v>0.15</v>
      </c>
      <c r="L11" s="13"/>
      <c r="O11" s="100"/>
      <c r="P11" s="101" t="s">
        <v>89</v>
      </c>
      <c r="Q11" s="23">
        <f>J20</f>
        <v>48.958333333333343</v>
      </c>
    </row>
    <row r="12" spans="2:17" x14ac:dyDescent="0.25">
      <c r="C12" s="14" t="s">
        <v>17</v>
      </c>
      <c r="D12" s="5">
        <f>'Presupuesto Anual Franquicias'!C26</f>
        <v>9400.0000000000018</v>
      </c>
      <c r="E12" s="15">
        <f>'Presupuesto Anual Franquicias'!D26</f>
        <v>3</v>
      </c>
      <c r="F12" s="119"/>
      <c r="G12" s="50"/>
      <c r="O12" s="100"/>
      <c r="P12" s="101" t="s">
        <v>88</v>
      </c>
      <c r="Q12" s="43">
        <f>J26</f>
        <v>1.9583333333333337</v>
      </c>
    </row>
    <row r="13" spans="2:17" x14ac:dyDescent="0.25">
      <c r="C13" s="14" t="s">
        <v>18</v>
      </c>
      <c r="D13" s="5">
        <f>'Presupuesto Anual Franquicias'!C27</f>
        <v>28200.000000000004</v>
      </c>
      <c r="E13" s="15">
        <f>'Presupuesto Anual Franquicias'!D27</f>
        <v>9</v>
      </c>
      <c r="F13" s="119"/>
      <c r="G13" s="50"/>
      <c r="I13" s="17" t="str">
        <f>IF(Q7="SI","Su negocio puede ser multiplicado con eficiencia por los siguientes parámetros:","Su negocio NO puede ser multiplicado por los siguientes parámetros:")</f>
        <v>Su negocio puede ser multiplicado con eficiencia por los siguientes parámetros:</v>
      </c>
      <c r="O13" s="100"/>
      <c r="P13" s="101" t="s">
        <v>90</v>
      </c>
      <c r="Q13" s="23">
        <f>Q11*E34</f>
        <v>8.3229166666666643</v>
      </c>
    </row>
    <row r="14" spans="2:17" ht="18.75" x14ac:dyDescent="0.3">
      <c r="C14" s="14" t="s">
        <v>19</v>
      </c>
      <c r="D14" s="5">
        <f>'Presupuesto Anual Franquicias'!C28</f>
        <v>18800.000000000004</v>
      </c>
      <c r="E14" s="15">
        <f>'Presupuesto Anual Franquicias'!D28</f>
        <v>6</v>
      </c>
      <c r="F14" s="119"/>
      <c r="G14" s="50"/>
      <c r="J14" s="120" t="s">
        <v>70</v>
      </c>
      <c r="K14" s="120"/>
      <c r="L14" s="120"/>
      <c r="O14" s="100"/>
      <c r="P14" s="101" t="s">
        <v>91</v>
      </c>
      <c r="Q14" s="44">
        <f>Q13/Q11</f>
        <v>0.16999999999999993</v>
      </c>
    </row>
    <row r="15" spans="2:17" x14ac:dyDescent="0.25">
      <c r="C15" s="14" t="s">
        <v>20</v>
      </c>
      <c r="D15" s="5">
        <f>'Presupuesto Anual Franquicias'!C29</f>
        <v>31333.333333333339</v>
      </c>
      <c r="E15" s="15">
        <f>'Presupuesto Anual Franquicias'!D29</f>
        <v>10</v>
      </c>
      <c r="F15" s="119"/>
      <c r="G15" s="50"/>
      <c r="J15" s="128" t="s">
        <v>71</v>
      </c>
      <c r="K15" s="128"/>
      <c r="L15" s="128"/>
      <c r="O15" s="100"/>
      <c r="P15" s="101" t="s">
        <v>92</v>
      </c>
      <c r="Q15" s="45">
        <v>0.15</v>
      </c>
    </row>
    <row r="16" spans="2:17" x14ac:dyDescent="0.25">
      <c r="C16" s="14" t="s">
        <v>21</v>
      </c>
      <c r="D16" s="5">
        <f>'Presupuesto Anual Franquicias'!C30</f>
        <v>25066.666666666672</v>
      </c>
      <c r="E16" s="15">
        <f>'Presupuesto Anual Franquicias'!D30</f>
        <v>8</v>
      </c>
      <c r="F16" s="119"/>
      <c r="G16" s="50"/>
      <c r="J16" s="1" t="s">
        <v>0</v>
      </c>
      <c r="K16" s="2" t="s">
        <v>1</v>
      </c>
      <c r="L16" s="3" t="s">
        <v>2</v>
      </c>
      <c r="N16" s="2" t="s">
        <v>117</v>
      </c>
      <c r="O16" s="102"/>
      <c r="P16" s="103" t="str">
        <f>IF(Q14&gt;Q15,"Por arriba de la Industria:","Por debajo de la Industria:")</f>
        <v>Por arriba de la Industria:</v>
      </c>
      <c r="Q16" s="104">
        <f>Q14-Q15</f>
        <v>1.9999999999999934E-2</v>
      </c>
    </row>
    <row r="17" spans="3:17" x14ac:dyDescent="0.25">
      <c r="C17" s="14" t="s">
        <v>22</v>
      </c>
      <c r="D17" s="5">
        <f>'Presupuesto Anual Franquicias'!C31</f>
        <v>15666.66666666667</v>
      </c>
      <c r="E17" s="15">
        <f>'Presupuesto Anual Franquicias'!D31</f>
        <v>5</v>
      </c>
      <c r="F17" s="119"/>
      <c r="G17" s="50"/>
      <c r="H17" s="63"/>
      <c r="I17" s="64" t="s">
        <v>82</v>
      </c>
      <c r="J17" s="65">
        <f>MIN('Presupuesto Anual Franquicias'!$C$21:$C$32)</f>
        <v>9400.0000000000018</v>
      </c>
      <c r="K17" s="65">
        <f>AVERAGE(J17,L17)</f>
        <v>20366.666666666672</v>
      </c>
      <c r="L17" s="65">
        <f>MAX('Presupuesto Anual Franquicias'!$C$21:$C$32)</f>
        <v>31333.333333333339</v>
      </c>
      <c r="N17" s="5">
        <f>N18*'Multiplicando su Negocio'!D29</f>
        <v>9400.0000000000018</v>
      </c>
    </row>
    <row r="18" spans="3:17" ht="21" x14ac:dyDescent="0.35">
      <c r="C18" s="67" t="s">
        <v>23</v>
      </c>
      <c r="D18" s="68">
        <f>'Presupuesto Anual Franquicias'!C32</f>
        <v>25066.666666666672</v>
      </c>
      <c r="E18" s="69">
        <f>'Presupuesto Anual Franquicias'!D32</f>
        <v>8</v>
      </c>
      <c r="F18" s="119"/>
      <c r="G18" s="50"/>
      <c r="H18" s="63"/>
      <c r="I18" s="64" t="s">
        <v>83</v>
      </c>
      <c r="J18" s="65">
        <f>J19*'Multiplicando su Negocio'!$D$27</f>
        <v>2350.0000000000005</v>
      </c>
      <c r="K18" s="65">
        <f>K19*'Multiplicando su Negocio'!$D$27</f>
        <v>5091.6666666666679</v>
      </c>
      <c r="L18" s="65">
        <f>L19*'Multiplicando su Negocio'!$D$27</f>
        <v>7833.3333333333358</v>
      </c>
      <c r="N18" s="5">
        <f>N19*'Multiplicando su Negocio'!D27</f>
        <v>2350.0000000000005</v>
      </c>
      <c r="O18" s="18" t="s">
        <v>100</v>
      </c>
      <c r="P18" s="18"/>
      <c r="Q18" s="18"/>
    </row>
    <row r="19" spans="3:17" x14ac:dyDescent="0.25">
      <c r="C19" s="88" t="s">
        <v>24</v>
      </c>
      <c r="D19" s="89">
        <f>SUM(D7:D18)</f>
        <v>253800</v>
      </c>
      <c r="E19" s="90">
        <v>1</v>
      </c>
      <c r="F19" s="97"/>
      <c r="G19" s="51"/>
      <c r="H19" s="63"/>
      <c r="I19" s="64" t="s">
        <v>84</v>
      </c>
      <c r="J19" s="65">
        <f>J20*'Multiplicando su Negocio'!$D$28</f>
        <v>391.66666666666674</v>
      </c>
      <c r="K19" s="65">
        <f>K20*'Multiplicando su Negocio'!$D$28</f>
        <v>848.61111111111131</v>
      </c>
      <c r="L19" s="65">
        <f>L20*'Multiplicando su Negocio'!$D$28</f>
        <v>1305.5555555555559</v>
      </c>
      <c r="N19" s="5">
        <f>J20*'Multiplicando su Negocio'!D28</f>
        <v>391.66666666666674</v>
      </c>
      <c r="O19" s="17" t="s">
        <v>105</v>
      </c>
      <c r="P19" s="42"/>
    </row>
    <row r="20" spans="3:17" x14ac:dyDescent="0.25">
      <c r="H20" s="63"/>
      <c r="I20" s="64" t="s">
        <v>85</v>
      </c>
      <c r="J20" s="65">
        <f>J22*J26</f>
        <v>48.958333333333343</v>
      </c>
      <c r="K20" s="65">
        <f>K22*K26</f>
        <v>106.07638888888891</v>
      </c>
      <c r="L20" s="65">
        <f>L22*L26</f>
        <v>163.19444444444449</v>
      </c>
      <c r="N20" s="5">
        <f>N19/'Multiplicando su Negocio'!D28</f>
        <v>48.958333333333343</v>
      </c>
      <c r="O20" s="17" t="s">
        <v>106</v>
      </c>
    </row>
    <row r="21" spans="3:17" ht="15.75" x14ac:dyDescent="0.25">
      <c r="C21" s="125" t="s">
        <v>8</v>
      </c>
      <c r="D21" s="126"/>
      <c r="E21" s="126"/>
      <c r="F21" s="127"/>
      <c r="G21" s="49"/>
      <c r="H21" s="55"/>
      <c r="I21" s="54" t="s">
        <v>3</v>
      </c>
      <c r="J21" s="56">
        <f>+J17*'Presupuesto Anual Franquicias'!$P$10</f>
        <v>1597.9999999999993</v>
      </c>
      <c r="K21" s="56">
        <f>+K17*'Presupuesto Anual Franquicias'!$P$10</f>
        <v>3462.3333333333321</v>
      </c>
      <c r="L21" s="56">
        <f>+L17*'Presupuesto Anual Franquicias'!$P$10</f>
        <v>5326.6666666666642</v>
      </c>
      <c r="O21" s="98"/>
      <c r="P21" s="99" t="s">
        <v>98</v>
      </c>
      <c r="Q21" s="46">
        <v>0.45</v>
      </c>
    </row>
    <row r="22" spans="3:17" ht="14.45" customHeight="1" x14ac:dyDescent="0.25">
      <c r="C22" s="14" t="s">
        <v>9</v>
      </c>
      <c r="D22" s="5">
        <f>D7*$E$34</f>
        <v>4261.3333333333321</v>
      </c>
      <c r="E22" s="15">
        <f t="shared" ref="E22:E33" si="0">E7</f>
        <v>8</v>
      </c>
      <c r="F22" s="119" t="s">
        <v>11</v>
      </c>
      <c r="G22" s="50"/>
      <c r="H22" s="55"/>
      <c r="I22" s="54" t="s">
        <v>4</v>
      </c>
      <c r="J22" s="56">
        <f>'Multiplicando su Negocio'!$D$10</f>
        <v>25</v>
      </c>
      <c r="K22" s="56">
        <f>(J22*$K$11)+$J$22</f>
        <v>28.75</v>
      </c>
      <c r="L22" s="56">
        <f>(K22*$K$11)+$J$22</f>
        <v>29.3125</v>
      </c>
      <c r="O22" s="100"/>
      <c r="P22" s="101" t="s">
        <v>94</v>
      </c>
      <c r="Q22" s="23">
        <f>J17*Q21</f>
        <v>4230.0000000000009</v>
      </c>
    </row>
    <row r="23" spans="3:17" x14ac:dyDescent="0.25">
      <c r="C23" s="14" t="s">
        <v>12</v>
      </c>
      <c r="D23" s="5">
        <f t="shared" ref="D23:D33" si="1">D8*$E$34</f>
        <v>3728.6666666666656</v>
      </c>
      <c r="E23" s="15">
        <f t="shared" si="0"/>
        <v>7</v>
      </c>
      <c r="F23" s="119"/>
      <c r="G23" s="50"/>
      <c r="H23" s="47"/>
      <c r="I23" s="48" t="s">
        <v>107</v>
      </c>
      <c r="J23" s="52">
        <f>J17/J22</f>
        <v>376.00000000000006</v>
      </c>
      <c r="K23" s="52">
        <f>K17/K22</f>
        <v>708.40579710144948</v>
      </c>
      <c r="L23" s="52">
        <f>L17/L22</f>
        <v>1068.9410092395169</v>
      </c>
      <c r="N23" s="5"/>
      <c r="O23" s="100"/>
      <c r="P23" s="101" t="s">
        <v>96</v>
      </c>
      <c r="Q23" s="11">
        <v>0.05</v>
      </c>
    </row>
    <row r="24" spans="3:17" x14ac:dyDescent="0.25">
      <c r="C24" s="14" t="s">
        <v>13</v>
      </c>
      <c r="D24" s="5">
        <f t="shared" si="1"/>
        <v>3195.9999999999986</v>
      </c>
      <c r="E24" s="15">
        <f t="shared" si="0"/>
        <v>6</v>
      </c>
      <c r="F24" s="119"/>
      <c r="G24" s="50"/>
      <c r="H24" s="47"/>
      <c r="I24" s="48" t="s">
        <v>108</v>
      </c>
      <c r="J24" s="52">
        <f>J23/'Multiplicando su Negocio'!$D$29</f>
        <v>94.000000000000014</v>
      </c>
      <c r="K24" s="52">
        <f>K23/'Multiplicando su Negocio'!$D$29</f>
        <v>177.10144927536237</v>
      </c>
      <c r="L24" s="52">
        <f>L23/'Multiplicando su Negocio'!$D$29</f>
        <v>267.23525230987923</v>
      </c>
      <c r="N24" s="5">
        <f>J23*$J$22</f>
        <v>9400.0000000000018</v>
      </c>
      <c r="O24" s="100"/>
      <c r="P24" s="101" t="s">
        <v>95</v>
      </c>
      <c r="Q24" s="23">
        <f>Q22*Q23</f>
        <v>211.50000000000006</v>
      </c>
    </row>
    <row r="25" spans="3:17" x14ac:dyDescent="0.25">
      <c r="C25" s="14" t="s">
        <v>15</v>
      </c>
      <c r="D25" s="5">
        <f t="shared" si="1"/>
        <v>3195.9999999999986</v>
      </c>
      <c r="E25" s="15">
        <f t="shared" si="0"/>
        <v>6</v>
      </c>
      <c r="F25" s="119"/>
      <c r="G25" s="50"/>
      <c r="H25" s="47"/>
      <c r="I25" s="48" t="s">
        <v>109</v>
      </c>
      <c r="J25" s="52">
        <f>J24/'Multiplicando su Negocio'!$D$27</f>
        <v>15.66666666666667</v>
      </c>
      <c r="K25" s="52">
        <f>K24/'Multiplicando su Negocio'!$D$27</f>
        <v>29.516908212560395</v>
      </c>
      <c r="L25" s="52">
        <f>L24/'Multiplicando su Negocio'!$D$27</f>
        <v>44.539208718313205</v>
      </c>
      <c r="N25" s="5">
        <f>J24*$J$22</f>
        <v>2350.0000000000005</v>
      </c>
      <c r="O25" s="100"/>
      <c r="P25" s="101" t="s">
        <v>97</v>
      </c>
      <c r="Q25" s="43">
        <v>15</v>
      </c>
    </row>
    <row r="26" spans="3:17" x14ac:dyDescent="0.25">
      <c r="C26" s="14" t="s">
        <v>16</v>
      </c>
      <c r="D26" s="5">
        <f t="shared" si="1"/>
        <v>2663.3333333333321</v>
      </c>
      <c r="E26" s="15">
        <f t="shared" si="0"/>
        <v>5</v>
      </c>
      <c r="F26" s="119"/>
      <c r="G26" s="50"/>
      <c r="H26" s="47"/>
      <c r="I26" s="48" t="s">
        <v>110</v>
      </c>
      <c r="J26" s="52">
        <f>J25/'Multiplicando su Negocio'!$D$28</f>
        <v>1.9583333333333337</v>
      </c>
      <c r="K26" s="52">
        <f>K25/'Multiplicando su Negocio'!$D$28</f>
        <v>3.6896135265700494</v>
      </c>
      <c r="L26" s="52">
        <f>L25/'Multiplicando su Negocio'!$D$28</f>
        <v>5.5674010897891506</v>
      </c>
      <c r="N26" s="5">
        <f>J25*$J$22</f>
        <v>391.66666666666674</v>
      </c>
      <c r="O26" s="102"/>
      <c r="P26" s="103" t="s">
        <v>99</v>
      </c>
      <c r="Q26" s="106">
        <f>Q24*Q25</f>
        <v>3172.5000000000009</v>
      </c>
    </row>
    <row r="27" spans="3:17" x14ac:dyDescent="0.25">
      <c r="C27" s="14" t="s">
        <v>17</v>
      </c>
      <c r="D27" s="5">
        <f t="shared" si="1"/>
        <v>1597.9999999999993</v>
      </c>
      <c r="E27" s="15">
        <f t="shared" si="0"/>
        <v>3</v>
      </c>
      <c r="F27" s="119"/>
      <c r="G27" s="50"/>
      <c r="H27" s="58"/>
      <c r="I27" s="57" t="s">
        <v>112</v>
      </c>
      <c r="J27" s="59">
        <f>J28*'Multiplicando su Negocio'!$D$29</f>
        <v>294.53333333333342</v>
      </c>
      <c r="K27" s="59">
        <f>K28*'Multiplicando su Negocio'!$D$29</f>
        <v>554.9178743961354</v>
      </c>
      <c r="L27" s="59">
        <f>L28*'Multiplicando su Negocio'!$D$29</f>
        <v>837.33712390428832</v>
      </c>
      <c r="N27" s="5">
        <f>J26*$J$22</f>
        <v>48.958333333333343</v>
      </c>
    </row>
    <row r="28" spans="3:17" x14ac:dyDescent="0.25">
      <c r="C28" s="14" t="s">
        <v>18</v>
      </c>
      <c r="D28" s="5">
        <f t="shared" si="1"/>
        <v>4793.9999999999982</v>
      </c>
      <c r="E28" s="15">
        <f t="shared" si="0"/>
        <v>9</v>
      </c>
      <c r="F28" s="119"/>
      <c r="G28" s="50"/>
      <c r="H28" s="58"/>
      <c r="I28" s="57" t="s">
        <v>113</v>
      </c>
      <c r="J28" s="59">
        <f>J29*'Multiplicando su Negocio'!$D$27</f>
        <v>73.633333333333354</v>
      </c>
      <c r="K28" s="59">
        <f>K29*'Multiplicando su Negocio'!$D$27</f>
        <v>138.72946859903385</v>
      </c>
      <c r="L28" s="59">
        <f>L29*'Multiplicando su Negocio'!$D$27</f>
        <v>209.33428097607208</v>
      </c>
      <c r="N28" s="5">
        <f>(J27*$J$22)*'Multiplicando su Negocio'!$D$30</f>
        <v>9400.0000000000018</v>
      </c>
    </row>
    <row r="29" spans="3:17" x14ac:dyDescent="0.25">
      <c r="C29" s="14" t="s">
        <v>19</v>
      </c>
      <c r="D29" s="5">
        <f t="shared" si="1"/>
        <v>3195.9999999999986</v>
      </c>
      <c r="E29" s="15">
        <f t="shared" si="0"/>
        <v>6</v>
      </c>
      <c r="F29" s="119"/>
      <c r="G29" s="50"/>
      <c r="H29" s="58"/>
      <c r="I29" s="57" t="s">
        <v>114</v>
      </c>
      <c r="J29" s="59">
        <f>J30*'Multiplicando su Negocio'!$D$28</f>
        <v>12.272222222222226</v>
      </c>
      <c r="K29" s="59">
        <f>K30*'Multiplicando su Negocio'!$D$28</f>
        <v>23.121578099838977</v>
      </c>
      <c r="L29" s="59">
        <f>L30*'Multiplicando su Negocio'!$D$28</f>
        <v>34.889046829345347</v>
      </c>
      <c r="N29" s="5">
        <f>(J28*$J$22)*'Multiplicando su Negocio'!$D$30</f>
        <v>2350.0000000000005</v>
      </c>
    </row>
    <row r="30" spans="3:17" x14ac:dyDescent="0.25">
      <c r="C30" s="14" t="s">
        <v>20</v>
      </c>
      <c r="D30" s="5">
        <f t="shared" si="1"/>
        <v>5326.6666666666642</v>
      </c>
      <c r="E30" s="15">
        <f t="shared" si="0"/>
        <v>10</v>
      </c>
      <c r="F30" s="119"/>
      <c r="G30" s="50"/>
      <c r="H30" s="58"/>
      <c r="I30" s="57" t="s">
        <v>115</v>
      </c>
      <c r="J30" s="59">
        <f>J26/'Multiplicando su Negocio'!$D$30</f>
        <v>1.5340277777777782</v>
      </c>
      <c r="K30" s="59">
        <f>K26/'Multiplicando su Negocio'!$D$30</f>
        <v>2.8901972624798722</v>
      </c>
      <c r="L30" s="59">
        <f>L26/'Multiplicando su Negocio'!$D$30</f>
        <v>4.3611308536681683</v>
      </c>
      <c r="N30" s="5">
        <f>(J29*$J$22)*'Multiplicando su Negocio'!$D$30</f>
        <v>391.66666666666674</v>
      </c>
    </row>
    <row r="31" spans="3:17" x14ac:dyDescent="0.25">
      <c r="C31" s="14" t="s">
        <v>21</v>
      </c>
      <c r="D31" s="5">
        <f t="shared" si="1"/>
        <v>4261.3333333333321</v>
      </c>
      <c r="E31" s="15">
        <f t="shared" si="0"/>
        <v>8</v>
      </c>
      <c r="F31" s="119"/>
      <c r="G31" s="50"/>
      <c r="H31" s="61"/>
      <c r="I31" s="53" t="s">
        <v>111</v>
      </c>
      <c r="J31" s="60">
        <f>J26*'Multiplicando su Negocio'!$D$30</f>
        <v>2.5</v>
      </c>
      <c r="K31" s="60">
        <f>K26*'Multiplicando su Negocio'!$D$30</f>
        <v>4.7101449275362324</v>
      </c>
      <c r="L31" s="60">
        <f>L26*'Multiplicando su Negocio'!$D$30</f>
        <v>7.1073205401563619</v>
      </c>
      <c r="N31" s="5">
        <f>(J30*$J$22)*'Multiplicando su Negocio'!$D$30</f>
        <v>48.958333333333343</v>
      </c>
    </row>
    <row r="32" spans="3:17" x14ac:dyDescent="0.25">
      <c r="C32" s="14" t="s">
        <v>22</v>
      </c>
      <c r="D32" s="5">
        <f t="shared" si="1"/>
        <v>2663.3333333333321</v>
      </c>
      <c r="E32" s="15">
        <f t="shared" si="0"/>
        <v>5</v>
      </c>
      <c r="F32" s="119"/>
      <c r="G32" s="50"/>
      <c r="H32" s="61"/>
      <c r="I32" s="53" t="s">
        <v>116</v>
      </c>
      <c r="J32" s="62">
        <f>J31*'Multiplicando su Negocio'!$D$28</f>
        <v>20</v>
      </c>
      <c r="K32" s="62">
        <f>K31*'Multiplicando su Negocio'!$D$28</f>
        <v>37.681159420289859</v>
      </c>
      <c r="L32" s="62">
        <f>L31*'Multiplicando su Negocio'!$D$28</f>
        <v>56.858564321250896</v>
      </c>
    </row>
    <row r="33" spans="3:12" x14ac:dyDescent="0.25">
      <c r="C33" s="14" t="s">
        <v>23</v>
      </c>
      <c r="D33" s="5">
        <f t="shared" si="1"/>
        <v>4261.3333333333321</v>
      </c>
      <c r="E33" s="15">
        <f t="shared" si="0"/>
        <v>8</v>
      </c>
      <c r="F33" s="119"/>
      <c r="G33" s="50"/>
      <c r="H33" s="61"/>
      <c r="I33" s="53" t="s">
        <v>139</v>
      </c>
      <c r="J33" s="62">
        <f>'Multiplicando su Negocio'!$D$16*J10</f>
        <v>0.75</v>
      </c>
      <c r="K33" s="62">
        <f>'Multiplicando su Negocio'!$D$16*K10</f>
        <v>1.2000000000000002</v>
      </c>
      <c r="L33" s="62">
        <f>'Multiplicando su Negocio'!$D$16*L10</f>
        <v>1.6500000000000001</v>
      </c>
    </row>
    <row r="34" spans="3:12" x14ac:dyDescent="0.25">
      <c r="C34" s="88" t="s">
        <v>24</v>
      </c>
      <c r="D34" s="89">
        <f>SUM(D22:D33)</f>
        <v>43145.999999999985</v>
      </c>
      <c r="E34" s="90">
        <f>'Presupuesto Anual Franquicias'!P10</f>
        <v>0.1699999999999999</v>
      </c>
      <c r="F34" s="97"/>
      <c r="G34" s="51"/>
      <c r="H34" s="61"/>
      <c r="I34" s="53" t="s">
        <v>140</v>
      </c>
      <c r="J34" s="62">
        <f>J32/J33</f>
        <v>26.666666666666668</v>
      </c>
      <c r="K34" s="62">
        <f t="shared" ref="K34:L34" si="2">K32/K33</f>
        <v>31.400966183574877</v>
      </c>
      <c r="L34" s="62">
        <f t="shared" si="2"/>
        <v>34.45973595227327</v>
      </c>
    </row>
  </sheetData>
  <sheetProtection algorithmName="SHA-512" hashValue="0H463AG3LG3apyvXEVYuAKXoJu5FlssRhhg5dVzFlSuQ0qUDe3kg+kLInlh5vjTHmp123UZaNyUjNKKKad4trQ==" saltValue="DMUaRF4w2ij1oXiaCvmfcg==" spinCount="100000" sheet="1" objects="1" scenarios="1" selectLockedCells="1"/>
  <mergeCells count="8">
    <mergeCell ref="F22:F33"/>
    <mergeCell ref="J14:L14"/>
    <mergeCell ref="J8:L8"/>
    <mergeCell ref="B1:Q1"/>
    <mergeCell ref="C6:F6"/>
    <mergeCell ref="C21:F21"/>
    <mergeCell ref="J15:L15"/>
    <mergeCell ref="F7:F18"/>
  </mergeCells>
  <conditionalFormatting sqref="B1:Q1">
    <cfRule type="containsText" dxfId="1" priority="1" operator="containsText" text="SU NEGOCIO NO PUEDE SER FRANQUICIADO">
      <formula>NOT(ISERROR(SEARCH("SU NEGOCIO NO PUEDE SER FRANQUICIADO",B1)))</formula>
    </cfRule>
    <cfRule type="containsText" dxfId="0" priority="2" operator="containsText" text="SU NEGOCIO PUEDE SER FRANQUICIADO">
      <formula>NOT(ISERROR(SEARCH("SU NEGOCIO PUEDE SER FRANQUICIADO",B1)))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Multiplicando su Negocio</vt:lpstr>
      <vt:lpstr>Presupuesto Anual Franquicias</vt:lpstr>
      <vt:lpstr>Viabilidad para Franquiciar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Gabriela Latino</cp:lastModifiedBy>
  <dcterms:created xsi:type="dcterms:W3CDTF">2022-07-23T21:38:48Z</dcterms:created>
  <dcterms:modified xsi:type="dcterms:W3CDTF">2025-02-15T01:01:56Z</dcterms:modified>
</cp:coreProperties>
</file>